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8.xml" ContentType="application/vnd.openxmlformats-officedocument.drawing+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drawings/drawing9.xml" ContentType="application/vnd.openxmlformats-officedocument.drawing+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showInkAnnotation="0" codeName="ThisWorkbook" defaultThemeVersion="124226"/>
  <mc:AlternateContent xmlns:mc="http://schemas.openxmlformats.org/markup-compatibility/2006">
    <mc:Choice Requires="x15">
      <x15ac:absPath xmlns:x15ac="http://schemas.microsoft.com/office/spreadsheetml/2010/11/ac" url="C:\Users\Steve\Documents\Excel Experts\Crest\Penetration Testing\Done\"/>
    </mc:Choice>
  </mc:AlternateContent>
  <xr:revisionPtr revIDLastSave="0" documentId="13_ncr:1_{2E5F5C21-2237-4632-B49A-A0D9D496686E}" xr6:coauthVersionLast="47" xr6:coauthVersionMax="47" xr10:uidLastSave="{00000000-0000-0000-0000-000000000000}"/>
  <bookViews>
    <workbookView xWindow="-120" yWindow="-120" windowWidth="29040" windowHeight="15840" tabRatio="879" xr2:uid="{00000000-000D-0000-FFFF-FFFF00000000}"/>
  </bookViews>
  <sheets>
    <sheet name="Introduction" sheetId="44" r:id="rId1"/>
    <sheet name="Guidelines" sheetId="45" r:id="rId2"/>
    <sheet name="Profile and Scope" sheetId="30" r:id="rId3"/>
    <sheet name="Targets" sheetId="43" r:id="rId4"/>
    <sheet name="Weightings" sheetId="34" r:id="rId5"/>
    <sheet name="Aggregated Results" sheetId="22" r:id="rId6"/>
    <sheet name="Assess A" sheetId="52" r:id="rId7"/>
    <sheet name="Assess B" sheetId="59" r:id="rId8"/>
    <sheet name="Assess C" sheetId="60" r:id="rId9"/>
    <sheet name="Results A" sheetId="56" r:id="rId10"/>
    <sheet name="Results B" sheetId="61" r:id="rId11"/>
    <sheet name="Results C" sheetId="62" r:id="rId12"/>
    <sheet name="References" sheetId="20" state="veryHidden" r:id="rId13"/>
    <sheet name="MMAT Ref" sheetId="21" state="veryHidden" r:id="rId14"/>
    <sheet name="Content" sheetId="53" state="veryHidden" r:id="rId15"/>
  </sheets>
  <definedNames>
    <definedName name="_xlnm._FilterDatabase" localSheetId="6" hidden="1">'Assess A'!$C$2:$C$76</definedName>
    <definedName name="_xlnm._FilterDatabase" localSheetId="7" hidden="1">'Assess B'!$C$2:$C$72</definedName>
    <definedName name="_xlnm._FilterDatabase" localSheetId="8" hidden="1">'Assess C'!$C$2:$C$36</definedName>
    <definedName name="_xlnm._FilterDatabase" localSheetId="14" hidden="1">Content!$O$2:$O$200</definedName>
    <definedName name="_xlnm._FilterDatabase" localSheetId="13" hidden="1">'MMAT Ref'!$T$2:$V$35</definedName>
    <definedName name="_xlnm._FilterDatabase" localSheetId="2" hidden="1">'Profile and Scope'!$C$1:$C$27</definedName>
    <definedName name="_xlnm._FilterDatabase" localSheetId="12" hidden="1">References!$A$1:$B$63</definedName>
    <definedName name="_xlnm._FilterDatabase" localSheetId="9" hidden="1">'Results A'!$C$2:$C$76</definedName>
    <definedName name="_xlnm._FilterDatabase" localSheetId="10" hidden="1">'Results B'!$C$2:$C$72</definedName>
    <definedName name="_xlnm._FilterDatabase" localSheetId="11" hidden="1">'Results C'!$C$2:$C$36</definedName>
    <definedName name="_xlnm._FilterDatabase" localSheetId="4" hidden="1">Weightings!$C$1:$C$205</definedName>
    <definedName name="Aggregated_Maturity_Levels">OFFSET('Aggregated Results'!$B$4,0,0,COUNTA('Aggregated Results'!$B:$B),8)</definedName>
    <definedName name="Assess_A_Reference">OFFSET('Assess A'!$A$8,0,0,COUNTA('Assess A'!$A:$A),40)</definedName>
    <definedName name="Assess_A_Reference_2">'Assess A'!$B$8:$AZ$1000</definedName>
    <definedName name="Assess_B_Reference">OFFSET('Assess B'!$A$8,0,0,COUNTA('Assess B'!$A:$A),40)</definedName>
    <definedName name="Assess_B_Reference_2">'Assess B'!$B$8:$AZ$1000</definedName>
    <definedName name="Assess_C_Reference">OFFSET('Assess C'!$A$8,0,0,COUNTA('Assess C'!$A:$A),40)</definedName>
    <definedName name="Assess_C_Reference_2">'Assess C'!$B$8:$AZ$1000</definedName>
    <definedName name="Contents_Headings">Content!$W$2:$X$7</definedName>
    <definedName name="Contents_Text">OFFSET(Content!$A$3,0,0,COUNTA(Content!$A:$A)-2,15)</definedName>
    <definedName name="detail_maturity_score">References!$D$4:$F$11</definedName>
    <definedName name="level_ref">Weightings!$R$4:$V$6</definedName>
    <definedName name="maturity_response_frame">References!$E$4:$E$11</definedName>
    <definedName name="MaturityLevelsTable">OFFSET('Aggregated Results'!$AA$4,0,0,COUNTA('Aggregated Results'!$AA:$AA),13)</definedName>
    <definedName name="MMAT_Header_Text">OFFSET('MMAT Ref'!$A$2,0,0,COUNTA('MMAT Ref'!$A:$A),6)</definedName>
    <definedName name="MMAT_Results">OFFSET('MMAT Ref'!$Q$2,0,0,COUNTA('MMAT Ref'!$Q:$Q)-1,3)</definedName>
    <definedName name="MMAT_Text_Ref">OFFSET('MMAT Ref'!$AB$2,0,0,COUNTA('MMAT Ref'!$AB:$AB),3)</definedName>
    <definedName name="_xlnm.Print_Area" localSheetId="5">'Aggregated Results'!$D$1:$W$36</definedName>
    <definedName name="_xlnm.Print_Area" localSheetId="6">'Assess A'!$E$1:$Q$76</definedName>
    <definedName name="_xlnm.Print_Area" localSheetId="7">'Assess B'!$E$1:$Q$72</definedName>
    <definedName name="_xlnm.Print_Area" localSheetId="8">'Assess C'!$E$1:$Q$36</definedName>
    <definedName name="_xlnm.Print_Area" localSheetId="1">Guidelines!$A$1:$M$85</definedName>
    <definedName name="_xlnm.Print_Area" localSheetId="0">Introduction!$A$1:$M$81</definedName>
    <definedName name="_xlnm.Print_Area" localSheetId="2">'Profile and Scope'!$D$1:$H$27</definedName>
    <definedName name="_xlnm.Print_Area" localSheetId="9">'Results A'!$E$1:$I$76</definedName>
    <definedName name="_xlnm.Print_Area" localSheetId="10">'Results B'!$E$1:$I$72</definedName>
    <definedName name="_xlnm.Print_Area" localSheetId="11">'Results C'!$E$1:$I$36</definedName>
    <definedName name="_xlnm.Print_Area" localSheetId="3">Targets!$D$1:$S$32</definedName>
    <definedName name="_xlnm.Print_Area" localSheetId="4">Weightings!$E$1:$M$205</definedName>
    <definedName name="profile_business_unit">'Profile and Scope'!$F$14</definedName>
    <definedName name="profile_date_of_assessment">'Profile and Scope'!$F$26</definedName>
    <definedName name="profile_internal_pt_coordinator">'Profile and Scope'!$F$8</definedName>
    <definedName name="profile_name_of_organisation">'Profile and Scope'!$F$5</definedName>
    <definedName name="profile_pt_coordinator_role_or_position">'Profile and Scope'!$F$11</definedName>
    <definedName name="profile_sector">'Profile and Scope'!$J$17</definedName>
    <definedName name="profile_size_of_business">'Profile and Scope'!$J$20</definedName>
    <definedName name="profile_type_of_business">'Profile and Scope'!$J$23</definedName>
    <definedName name="Results_A_Reference">'Results A'!$B$8:$Z$1000</definedName>
    <definedName name="Results_B_Reference">'Results B'!$B$8:$Z$1000</definedName>
    <definedName name="Results_C_Reference">'Results C'!$B$8:$Z$1000</definedName>
    <definedName name="sector_responses">References!$H$4:$H$30</definedName>
    <definedName name="size_of_business_responses">References!$J$4:$J$8</definedName>
    <definedName name="Targets_Lookup">OFFSET(Targets!$B$4,0,0,COUNTA(Targets!$B:$B)-1,5)</definedName>
    <definedName name="Tool_Name">Introduction!$D$2</definedName>
    <definedName name="type_of_business_responses">References!$L$4:$L$9</definedName>
    <definedName name="weighting_response_reverse">References!$P$4:$Q$8</definedName>
    <definedName name="weighting_responses">References!$N$4:$N$8</definedName>
    <definedName name="Weightings_Assessments">OFFSET(Weightings!$A$8,0,0,COUNTA(Weightings!$A:$A),26)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6" i="21" l="1"/>
  <c r="Z26" i="21"/>
  <c r="AC26" i="21" s="1"/>
  <c r="Y26" i="21"/>
  <c r="AD25" i="21"/>
  <c r="Z25" i="21"/>
  <c r="AC25" i="21" s="1"/>
  <c r="Y25" i="21"/>
  <c r="AD24" i="21"/>
  <c r="Z24" i="21"/>
  <c r="AC24" i="21" s="1"/>
  <c r="Y24" i="21"/>
  <c r="AD23" i="21"/>
  <c r="Z23" i="21"/>
  <c r="AC23" i="21" s="1"/>
  <c r="Y23" i="21"/>
  <c r="AD22" i="21"/>
  <c r="Z22" i="21"/>
  <c r="AC22" i="21" s="1"/>
  <c r="Y22" i="21"/>
  <c r="AD21" i="21"/>
  <c r="Z21" i="21"/>
  <c r="AC21" i="21" s="1"/>
  <c r="Y21" i="21"/>
  <c r="AD20" i="21"/>
  <c r="Z20" i="21"/>
  <c r="Y20" i="21"/>
  <c r="AD19" i="21"/>
  <c r="Z19" i="21"/>
  <c r="AC19" i="21" s="1"/>
  <c r="Y19" i="21"/>
  <c r="AD18" i="21"/>
  <c r="Z18" i="21"/>
  <c r="AC18" i="21" s="1"/>
  <c r="Y18" i="21"/>
  <c r="AD17" i="21"/>
  <c r="Z17" i="21"/>
  <c r="AC17" i="21" s="1"/>
  <c r="Y17" i="21"/>
  <c r="AD16" i="21"/>
  <c r="Z16" i="21"/>
  <c r="AC16" i="21" s="1"/>
  <c r="Y16" i="21"/>
  <c r="AD15" i="21"/>
  <c r="Z15" i="21"/>
  <c r="AC15" i="21" s="1"/>
  <c r="Y15" i="21"/>
  <c r="AD14" i="21"/>
  <c r="Z14" i="21"/>
  <c r="AC14" i="21" s="1"/>
  <c r="Y14" i="21"/>
  <c r="AD13" i="21"/>
  <c r="Z13" i="21"/>
  <c r="AC13" i="21" s="1"/>
  <c r="Y13" i="21"/>
  <c r="AD12" i="21"/>
  <c r="Z12" i="21"/>
  <c r="AC12" i="21" s="1"/>
  <c r="Y12" i="21"/>
  <c r="AD11" i="21"/>
  <c r="Z11" i="21"/>
  <c r="AC11" i="21" s="1"/>
  <c r="Y11" i="21"/>
  <c r="AD10" i="21"/>
  <c r="Z10" i="21"/>
  <c r="Y10" i="21"/>
  <c r="AD9" i="21"/>
  <c r="Z9" i="21"/>
  <c r="AC9" i="21" s="1"/>
  <c r="Y9" i="21"/>
  <c r="AD8" i="21"/>
  <c r="Z8" i="21"/>
  <c r="AC8" i="21" s="1"/>
  <c r="Y8" i="21"/>
  <c r="AD7" i="21"/>
  <c r="Z7" i="21"/>
  <c r="AC7" i="21" s="1"/>
  <c r="Y7" i="21"/>
  <c r="AD6" i="21"/>
  <c r="Z6" i="21"/>
  <c r="AC6" i="21" s="1"/>
  <c r="Y6" i="21"/>
  <c r="AD5" i="21"/>
  <c r="Z5" i="21"/>
  <c r="AC5" i="21" s="1"/>
  <c r="Y5" i="21"/>
  <c r="AD4" i="21"/>
  <c r="Z4" i="21"/>
  <c r="AC4" i="21" s="1"/>
  <c r="Y4" i="21"/>
  <c r="AD3" i="21"/>
  <c r="Z3" i="21"/>
  <c r="AC3" i="21" s="1"/>
  <c r="Y3" i="21"/>
  <c r="AD2" i="21"/>
  <c r="Z2" i="21"/>
  <c r="Y2" i="21"/>
  <c r="F36" i="62"/>
  <c r="C36" i="62"/>
  <c r="B36" i="62"/>
  <c r="F35" i="62"/>
  <c r="C35" i="62"/>
  <c r="B35" i="62"/>
  <c r="F34" i="62"/>
  <c r="C34" i="62"/>
  <c r="B34" i="62"/>
  <c r="F33" i="62"/>
  <c r="C33" i="62"/>
  <c r="B33" i="62"/>
  <c r="F32" i="62"/>
  <c r="C32" i="62"/>
  <c r="B32" i="62"/>
  <c r="F31" i="62"/>
  <c r="C31" i="62"/>
  <c r="B31" i="62"/>
  <c r="F30" i="62"/>
  <c r="C30" i="62"/>
  <c r="E30" i="62" s="1"/>
  <c r="B30" i="62"/>
  <c r="F29" i="62"/>
  <c r="C29" i="62"/>
  <c r="B29" i="62"/>
  <c r="F28" i="62"/>
  <c r="C28" i="62"/>
  <c r="B28" i="62"/>
  <c r="F27" i="62"/>
  <c r="C27" i="62"/>
  <c r="B27" i="62"/>
  <c r="F26" i="62"/>
  <c r="C26" i="62"/>
  <c r="B26" i="62"/>
  <c r="F25" i="62"/>
  <c r="C25" i="62"/>
  <c r="E25" i="62" s="1"/>
  <c r="B25" i="62"/>
  <c r="F24" i="62"/>
  <c r="C24" i="62"/>
  <c r="B24" i="62"/>
  <c r="F23" i="62"/>
  <c r="C23" i="62"/>
  <c r="B23" i="62"/>
  <c r="F22" i="62"/>
  <c r="C22" i="62"/>
  <c r="B22" i="62"/>
  <c r="F21" i="62"/>
  <c r="C21" i="62"/>
  <c r="E21" i="62" s="1"/>
  <c r="B21" i="62"/>
  <c r="F20" i="62"/>
  <c r="C20" i="62"/>
  <c r="B20" i="62"/>
  <c r="F19" i="62"/>
  <c r="C19" i="62"/>
  <c r="B19" i="62"/>
  <c r="F18" i="62"/>
  <c r="C18" i="62"/>
  <c r="B18" i="62"/>
  <c r="F17" i="62"/>
  <c r="C17" i="62"/>
  <c r="B17" i="62"/>
  <c r="F16" i="62"/>
  <c r="C16" i="62"/>
  <c r="E16" i="62" s="1"/>
  <c r="B16" i="62"/>
  <c r="F15" i="62"/>
  <c r="C15" i="62"/>
  <c r="B15" i="62"/>
  <c r="F14" i="62"/>
  <c r="C14" i="62"/>
  <c r="B14" i="62"/>
  <c r="F13" i="62"/>
  <c r="C13" i="62"/>
  <c r="B13" i="62"/>
  <c r="F12" i="62"/>
  <c r="C12" i="62"/>
  <c r="E12" i="62" s="1"/>
  <c r="B12" i="62"/>
  <c r="F11" i="62"/>
  <c r="C11" i="62"/>
  <c r="B11" i="62"/>
  <c r="F10" i="62"/>
  <c r="C10" i="62"/>
  <c r="B10" i="62"/>
  <c r="F9" i="62"/>
  <c r="C9" i="62"/>
  <c r="B9" i="62"/>
  <c r="F8" i="62"/>
  <c r="C8" i="62"/>
  <c r="E8" i="62" s="1"/>
  <c r="B8" i="62"/>
  <c r="F104" i="61"/>
  <c r="C104" i="61"/>
  <c r="B104" i="61"/>
  <c r="F103" i="61"/>
  <c r="C103" i="61"/>
  <c r="B103" i="61"/>
  <c r="F102" i="61"/>
  <c r="C102" i="61"/>
  <c r="B102" i="61"/>
  <c r="F101" i="61"/>
  <c r="C101" i="61"/>
  <c r="B101" i="61"/>
  <c r="F100" i="61"/>
  <c r="C100" i="61"/>
  <c r="B100" i="61"/>
  <c r="F99" i="61"/>
  <c r="C99" i="61"/>
  <c r="B99" i="61"/>
  <c r="F98" i="61"/>
  <c r="C98" i="61"/>
  <c r="B98" i="61"/>
  <c r="F97" i="61"/>
  <c r="C97" i="61"/>
  <c r="E97" i="61" s="1"/>
  <c r="B97" i="61"/>
  <c r="F96" i="61"/>
  <c r="C96" i="61"/>
  <c r="B96" i="61"/>
  <c r="F95" i="61"/>
  <c r="C95" i="61"/>
  <c r="B95" i="61"/>
  <c r="F94" i="61"/>
  <c r="C94" i="61"/>
  <c r="B94" i="61"/>
  <c r="F93" i="61"/>
  <c r="C93" i="61"/>
  <c r="B93" i="61"/>
  <c r="F92" i="61"/>
  <c r="C92" i="61"/>
  <c r="B92" i="61"/>
  <c r="F91" i="61"/>
  <c r="C91" i="61"/>
  <c r="B91" i="61"/>
  <c r="F90" i="61"/>
  <c r="C90" i="61"/>
  <c r="B90" i="61"/>
  <c r="F89" i="61"/>
  <c r="C89" i="61"/>
  <c r="E89" i="61" s="1"/>
  <c r="B89" i="61"/>
  <c r="F88" i="61"/>
  <c r="C88" i="61"/>
  <c r="B88" i="61"/>
  <c r="F87" i="61"/>
  <c r="C87" i="61"/>
  <c r="B87" i="61"/>
  <c r="F86" i="61"/>
  <c r="C86" i="61"/>
  <c r="B86" i="61"/>
  <c r="F85" i="61"/>
  <c r="C85" i="61"/>
  <c r="B85" i="61"/>
  <c r="F84" i="61"/>
  <c r="C84" i="61"/>
  <c r="B84" i="61"/>
  <c r="F83" i="61"/>
  <c r="C83" i="61"/>
  <c r="B83" i="61"/>
  <c r="F82" i="61"/>
  <c r="C82" i="61"/>
  <c r="B82" i="61"/>
  <c r="F81" i="61"/>
  <c r="C81" i="61"/>
  <c r="B81" i="61"/>
  <c r="F80" i="61"/>
  <c r="C80" i="61"/>
  <c r="B80" i="61"/>
  <c r="F79" i="61"/>
  <c r="C79" i="61"/>
  <c r="B79" i="61"/>
  <c r="F78" i="61"/>
  <c r="C78" i="61"/>
  <c r="B78" i="61"/>
  <c r="F77" i="61"/>
  <c r="C77" i="61"/>
  <c r="B77" i="61"/>
  <c r="F76" i="61"/>
  <c r="C76" i="61"/>
  <c r="E76" i="61" s="1"/>
  <c r="B76" i="61"/>
  <c r="F75" i="61"/>
  <c r="C75" i="61"/>
  <c r="B75" i="61"/>
  <c r="F74" i="61"/>
  <c r="C74" i="61"/>
  <c r="B74" i="61"/>
  <c r="F73" i="61"/>
  <c r="C73" i="61"/>
  <c r="B73" i="61"/>
  <c r="F72" i="61"/>
  <c r="C72" i="61"/>
  <c r="B72" i="61"/>
  <c r="F71" i="61"/>
  <c r="C71" i="61"/>
  <c r="B71" i="61"/>
  <c r="F70" i="61"/>
  <c r="C70" i="61"/>
  <c r="B70" i="61"/>
  <c r="F69" i="61"/>
  <c r="C69" i="61"/>
  <c r="B69" i="61"/>
  <c r="F68" i="61"/>
  <c r="C68" i="61"/>
  <c r="B68" i="61"/>
  <c r="F67" i="61"/>
  <c r="C67" i="61"/>
  <c r="E67" i="61" s="1"/>
  <c r="B67" i="61"/>
  <c r="F66" i="61"/>
  <c r="C66" i="61"/>
  <c r="B66" i="61"/>
  <c r="F65" i="61"/>
  <c r="C65" i="61"/>
  <c r="B65" i="61"/>
  <c r="F64" i="61"/>
  <c r="C64" i="61"/>
  <c r="B64" i="61"/>
  <c r="F63" i="61"/>
  <c r="C63" i="61"/>
  <c r="B63" i="61"/>
  <c r="F62" i="61"/>
  <c r="C62" i="61"/>
  <c r="B62" i="61"/>
  <c r="F61" i="61"/>
  <c r="C61" i="61"/>
  <c r="B61" i="61"/>
  <c r="F60" i="61"/>
  <c r="C60" i="61"/>
  <c r="B60" i="61"/>
  <c r="F59" i="61"/>
  <c r="C59" i="61"/>
  <c r="B59" i="61"/>
  <c r="F58" i="61"/>
  <c r="C58" i="61"/>
  <c r="B58" i="61"/>
  <c r="F57" i="61"/>
  <c r="C57" i="61"/>
  <c r="B57" i="61"/>
  <c r="F56" i="61"/>
  <c r="C56" i="61"/>
  <c r="E56" i="61" s="1"/>
  <c r="B56" i="61"/>
  <c r="F55" i="61"/>
  <c r="C55" i="61"/>
  <c r="B55" i="61"/>
  <c r="F54" i="61"/>
  <c r="C54" i="61"/>
  <c r="B54" i="61"/>
  <c r="F53" i="61"/>
  <c r="C53" i="61"/>
  <c r="B53" i="61"/>
  <c r="F52" i="61"/>
  <c r="C52" i="61"/>
  <c r="B52" i="61"/>
  <c r="F51" i="61"/>
  <c r="C51" i="61"/>
  <c r="B51" i="61"/>
  <c r="F50" i="61"/>
  <c r="C50" i="61"/>
  <c r="B50" i="61"/>
  <c r="F49" i="61"/>
  <c r="C49" i="61"/>
  <c r="B49" i="61"/>
  <c r="F48" i="61"/>
  <c r="C48" i="61"/>
  <c r="B48" i="61"/>
  <c r="F47" i="61"/>
  <c r="C47" i="61"/>
  <c r="B47" i="61"/>
  <c r="F46" i="61"/>
  <c r="C46" i="61"/>
  <c r="B46" i="61"/>
  <c r="F45" i="61"/>
  <c r="C45" i="61"/>
  <c r="B45" i="61"/>
  <c r="F44" i="61"/>
  <c r="C44" i="61"/>
  <c r="E44" i="61" s="1"/>
  <c r="B44" i="61"/>
  <c r="F43" i="61"/>
  <c r="C43" i="61"/>
  <c r="B43" i="61"/>
  <c r="F42" i="61"/>
  <c r="C42" i="61"/>
  <c r="B42" i="61"/>
  <c r="F41" i="61"/>
  <c r="C41" i="61"/>
  <c r="B41" i="61"/>
  <c r="F40" i="61"/>
  <c r="C40" i="61"/>
  <c r="B40" i="61"/>
  <c r="F39" i="61"/>
  <c r="C39" i="61"/>
  <c r="B39" i="61"/>
  <c r="F38" i="61"/>
  <c r="C38" i="61"/>
  <c r="B38" i="61"/>
  <c r="F37" i="61"/>
  <c r="C37" i="61"/>
  <c r="B37" i="61"/>
  <c r="F36" i="61"/>
  <c r="C36" i="61"/>
  <c r="B36" i="61"/>
  <c r="F35" i="61"/>
  <c r="C35" i="61"/>
  <c r="B35" i="61"/>
  <c r="F34" i="61"/>
  <c r="C34" i="61"/>
  <c r="B34" i="61"/>
  <c r="F33" i="61"/>
  <c r="C33" i="61"/>
  <c r="B33" i="61"/>
  <c r="F32" i="61"/>
  <c r="C32" i="61"/>
  <c r="B32" i="61"/>
  <c r="F31" i="61"/>
  <c r="C31" i="61"/>
  <c r="B31" i="61"/>
  <c r="F30" i="61"/>
  <c r="C30" i="61"/>
  <c r="E30" i="61" s="1"/>
  <c r="B30" i="61"/>
  <c r="F29" i="61"/>
  <c r="C29" i="61"/>
  <c r="B29" i="61"/>
  <c r="F28" i="61"/>
  <c r="C28" i="61"/>
  <c r="B28" i="61"/>
  <c r="F27" i="61"/>
  <c r="C27" i="61"/>
  <c r="B27" i="61"/>
  <c r="F26" i="61"/>
  <c r="C26" i="61"/>
  <c r="B26" i="61"/>
  <c r="F25" i="61"/>
  <c r="C25" i="61"/>
  <c r="B25" i="61"/>
  <c r="F24" i="61"/>
  <c r="C24" i="61"/>
  <c r="B24" i="61"/>
  <c r="F23" i="61"/>
  <c r="C23" i="61"/>
  <c r="B23" i="61"/>
  <c r="F22" i="61"/>
  <c r="C22" i="61"/>
  <c r="B22" i="61"/>
  <c r="F21" i="61"/>
  <c r="C21" i="61"/>
  <c r="B21" i="61"/>
  <c r="F20" i="61"/>
  <c r="C20" i="61"/>
  <c r="B20" i="61"/>
  <c r="F19" i="61"/>
  <c r="C19" i="61"/>
  <c r="B19" i="61"/>
  <c r="F18" i="61"/>
  <c r="C18" i="61"/>
  <c r="B18" i="61"/>
  <c r="F17" i="61"/>
  <c r="C17" i="61"/>
  <c r="B17" i="61"/>
  <c r="F16" i="61"/>
  <c r="C16" i="61"/>
  <c r="B16" i="61"/>
  <c r="F15" i="61"/>
  <c r="C15" i="61"/>
  <c r="E15" i="61" s="1"/>
  <c r="B15" i="61"/>
  <c r="F14" i="61"/>
  <c r="C14" i="61"/>
  <c r="B14" i="61"/>
  <c r="F13" i="61"/>
  <c r="C13" i="61"/>
  <c r="B13" i="61"/>
  <c r="F12" i="61"/>
  <c r="C12" i="61"/>
  <c r="B12" i="61"/>
  <c r="F11" i="61"/>
  <c r="C11" i="61"/>
  <c r="B11" i="61"/>
  <c r="F10" i="61"/>
  <c r="C10" i="61"/>
  <c r="B10" i="61"/>
  <c r="F9" i="61"/>
  <c r="C9" i="61"/>
  <c r="B9" i="61"/>
  <c r="F8" i="61"/>
  <c r="C8" i="61"/>
  <c r="E8" i="61" s="1"/>
  <c r="B8" i="61"/>
  <c r="F76" i="56"/>
  <c r="C76" i="56"/>
  <c r="B76" i="56"/>
  <c r="F75" i="56"/>
  <c r="C75" i="56"/>
  <c r="B75" i="56"/>
  <c r="F74" i="56"/>
  <c r="C74" i="56"/>
  <c r="B74" i="56"/>
  <c r="F73" i="56"/>
  <c r="C73" i="56"/>
  <c r="B73" i="56"/>
  <c r="F72" i="56"/>
  <c r="C72" i="56"/>
  <c r="B72" i="56"/>
  <c r="F71" i="56"/>
  <c r="C71" i="56"/>
  <c r="B71" i="56"/>
  <c r="F70" i="56"/>
  <c r="C70" i="56"/>
  <c r="B70" i="56"/>
  <c r="F69" i="56"/>
  <c r="C69" i="56"/>
  <c r="B69" i="56"/>
  <c r="F68" i="56"/>
  <c r="C68" i="56"/>
  <c r="B68" i="56"/>
  <c r="F67" i="56"/>
  <c r="C67" i="56"/>
  <c r="B67" i="56"/>
  <c r="F66" i="56"/>
  <c r="C66" i="56"/>
  <c r="E66" i="56" s="1"/>
  <c r="B66" i="56"/>
  <c r="F65" i="56"/>
  <c r="C65" i="56"/>
  <c r="B65" i="56"/>
  <c r="F64" i="56"/>
  <c r="C64" i="56"/>
  <c r="B64" i="56"/>
  <c r="F63" i="56"/>
  <c r="C63" i="56"/>
  <c r="B63" i="56"/>
  <c r="F62" i="56"/>
  <c r="C62" i="56"/>
  <c r="B62" i="56"/>
  <c r="F61" i="56"/>
  <c r="C61" i="56"/>
  <c r="E61" i="56" s="1"/>
  <c r="B61" i="56"/>
  <c r="F60" i="56"/>
  <c r="C60" i="56"/>
  <c r="B60" i="56"/>
  <c r="F59" i="56"/>
  <c r="C59" i="56"/>
  <c r="B59" i="56"/>
  <c r="F58" i="56"/>
  <c r="C58" i="56"/>
  <c r="B58" i="56"/>
  <c r="F57" i="56"/>
  <c r="C57" i="56"/>
  <c r="B57" i="56"/>
  <c r="F56" i="56"/>
  <c r="C56" i="56"/>
  <c r="B56" i="56"/>
  <c r="F55" i="56"/>
  <c r="C55" i="56"/>
  <c r="B55" i="56"/>
  <c r="F54" i="56"/>
  <c r="C54" i="56"/>
  <c r="B54" i="56"/>
  <c r="F53" i="56"/>
  <c r="C53" i="56"/>
  <c r="B53" i="56"/>
  <c r="F52" i="56"/>
  <c r="C52" i="56"/>
  <c r="B52" i="56"/>
  <c r="F51" i="56"/>
  <c r="C51" i="56"/>
  <c r="B51" i="56"/>
  <c r="F50" i="56"/>
  <c r="C50" i="56"/>
  <c r="B50" i="56"/>
  <c r="F49" i="56"/>
  <c r="C49" i="56"/>
  <c r="B49" i="56"/>
  <c r="F48" i="56"/>
  <c r="C48" i="56"/>
  <c r="E48" i="56" s="1"/>
  <c r="B48" i="56"/>
  <c r="F47" i="56"/>
  <c r="C47" i="56"/>
  <c r="B47" i="56"/>
  <c r="F46" i="56"/>
  <c r="C46" i="56"/>
  <c r="B46" i="56"/>
  <c r="F45" i="56"/>
  <c r="C45" i="56"/>
  <c r="B45" i="56"/>
  <c r="F44" i="56"/>
  <c r="C44" i="56"/>
  <c r="B44" i="56"/>
  <c r="F43" i="56"/>
  <c r="C43" i="56"/>
  <c r="B43" i="56"/>
  <c r="F42" i="56"/>
  <c r="C42" i="56"/>
  <c r="B42" i="56"/>
  <c r="F41" i="56"/>
  <c r="C41" i="56"/>
  <c r="B41" i="56"/>
  <c r="F40" i="56"/>
  <c r="C40" i="56"/>
  <c r="B40" i="56"/>
  <c r="F39" i="56"/>
  <c r="C39" i="56"/>
  <c r="B39" i="56"/>
  <c r="F38" i="56"/>
  <c r="C38" i="56"/>
  <c r="E38" i="56" s="1"/>
  <c r="B38" i="56"/>
  <c r="F37" i="56"/>
  <c r="C37" i="56"/>
  <c r="B37" i="56"/>
  <c r="F36" i="56"/>
  <c r="C36" i="56"/>
  <c r="B36" i="56"/>
  <c r="F35" i="56"/>
  <c r="C35" i="56"/>
  <c r="B35" i="56"/>
  <c r="F34" i="56"/>
  <c r="C34" i="56"/>
  <c r="B34" i="56"/>
  <c r="F33" i="56"/>
  <c r="C33" i="56"/>
  <c r="B33" i="56"/>
  <c r="F32" i="56"/>
  <c r="C32" i="56"/>
  <c r="B32" i="56"/>
  <c r="F31" i="56"/>
  <c r="C31" i="56"/>
  <c r="B31" i="56"/>
  <c r="F30" i="56"/>
  <c r="C30" i="56"/>
  <c r="E30" i="56" s="1"/>
  <c r="B30" i="56"/>
  <c r="F29" i="56"/>
  <c r="C29" i="56"/>
  <c r="B29" i="56"/>
  <c r="F28" i="56"/>
  <c r="C28" i="56"/>
  <c r="B28" i="56"/>
  <c r="F27" i="56"/>
  <c r="C27" i="56"/>
  <c r="B27" i="56"/>
  <c r="F26" i="56"/>
  <c r="C26" i="56"/>
  <c r="B26" i="56"/>
  <c r="F25" i="56"/>
  <c r="C25" i="56"/>
  <c r="B25" i="56"/>
  <c r="F24" i="56"/>
  <c r="C24" i="56"/>
  <c r="B24" i="56"/>
  <c r="F23" i="56"/>
  <c r="C23" i="56"/>
  <c r="B23" i="56"/>
  <c r="F22" i="56"/>
  <c r="C22" i="56"/>
  <c r="B22" i="56"/>
  <c r="F21" i="56"/>
  <c r="C21" i="56"/>
  <c r="B21" i="56"/>
  <c r="F20" i="56"/>
  <c r="C20" i="56"/>
  <c r="B20" i="56"/>
  <c r="F19" i="56"/>
  <c r="C19" i="56"/>
  <c r="B19" i="56"/>
  <c r="F18" i="56"/>
  <c r="C18" i="56"/>
  <c r="E18" i="56" s="1"/>
  <c r="B18" i="56"/>
  <c r="F17" i="56"/>
  <c r="C17" i="56"/>
  <c r="B17" i="56"/>
  <c r="F16" i="56"/>
  <c r="C16" i="56"/>
  <c r="B16" i="56"/>
  <c r="F15" i="56"/>
  <c r="C15" i="56"/>
  <c r="B15" i="56"/>
  <c r="F14" i="56"/>
  <c r="C14" i="56"/>
  <c r="B14" i="56"/>
  <c r="F13" i="56"/>
  <c r="C13" i="56"/>
  <c r="B13" i="56"/>
  <c r="F12" i="56"/>
  <c r="C12" i="56"/>
  <c r="B12" i="56"/>
  <c r="F11" i="56"/>
  <c r="C11" i="56"/>
  <c r="B11" i="56"/>
  <c r="F10" i="56"/>
  <c r="C10" i="56"/>
  <c r="B10" i="56"/>
  <c r="F9" i="56"/>
  <c r="C9" i="56"/>
  <c r="B9" i="56"/>
  <c r="F8" i="56"/>
  <c r="C8" i="56"/>
  <c r="E8" i="56" s="1"/>
  <c r="B8" i="56"/>
  <c r="F36" i="60"/>
  <c r="C36" i="60"/>
  <c r="B36" i="60"/>
  <c r="F35" i="60"/>
  <c r="C35" i="60"/>
  <c r="B35" i="60"/>
  <c r="F34" i="60"/>
  <c r="C34" i="60"/>
  <c r="B34" i="60"/>
  <c r="F33" i="60"/>
  <c r="C33" i="60"/>
  <c r="B33" i="60"/>
  <c r="F32" i="60"/>
  <c r="C32" i="60"/>
  <c r="B32" i="60"/>
  <c r="F31" i="60"/>
  <c r="C31" i="60"/>
  <c r="B31" i="60"/>
  <c r="F30" i="60"/>
  <c r="C30" i="60"/>
  <c r="E30" i="60" s="1"/>
  <c r="B30" i="60"/>
  <c r="F29" i="60"/>
  <c r="C29" i="60"/>
  <c r="B29" i="60"/>
  <c r="F28" i="60"/>
  <c r="C28" i="60"/>
  <c r="B28" i="60"/>
  <c r="F27" i="60"/>
  <c r="C27" i="60"/>
  <c r="B27" i="60"/>
  <c r="F26" i="60"/>
  <c r="C26" i="60"/>
  <c r="B26" i="60"/>
  <c r="F25" i="60"/>
  <c r="C25" i="60"/>
  <c r="E25" i="60" s="1"/>
  <c r="B25" i="60"/>
  <c r="F24" i="60"/>
  <c r="C24" i="60"/>
  <c r="B24" i="60"/>
  <c r="F23" i="60"/>
  <c r="C23" i="60"/>
  <c r="B23" i="60"/>
  <c r="F22" i="60"/>
  <c r="C22" i="60"/>
  <c r="B22" i="60"/>
  <c r="F21" i="60"/>
  <c r="C21" i="60"/>
  <c r="E21" i="60" s="1"/>
  <c r="B21" i="60"/>
  <c r="F20" i="60"/>
  <c r="C20" i="60"/>
  <c r="B20" i="60"/>
  <c r="F19" i="60"/>
  <c r="C19" i="60"/>
  <c r="B19" i="60"/>
  <c r="F18" i="60"/>
  <c r="C18" i="60"/>
  <c r="B18" i="60"/>
  <c r="F17" i="60"/>
  <c r="C17" i="60"/>
  <c r="B17" i="60"/>
  <c r="F16" i="60"/>
  <c r="C16" i="60"/>
  <c r="E16" i="60" s="1"/>
  <c r="B16" i="60"/>
  <c r="F15" i="60"/>
  <c r="C15" i="60"/>
  <c r="B15" i="60"/>
  <c r="F14" i="60"/>
  <c r="C14" i="60"/>
  <c r="B14" i="60"/>
  <c r="F13" i="60"/>
  <c r="C13" i="60"/>
  <c r="B13" i="60"/>
  <c r="F12" i="60"/>
  <c r="C12" i="60"/>
  <c r="E12" i="60" s="1"/>
  <c r="B12" i="60"/>
  <c r="F11" i="60"/>
  <c r="C11" i="60"/>
  <c r="B11" i="60"/>
  <c r="F10" i="60"/>
  <c r="C10" i="60"/>
  <c r="B10" i="60"/>
  <c r="F9" i="60"/>
  <c r="C9" i="60"/>
  <c r="B9" i="60"/>
  <c r="F8" i="60"/>
  <c r="C8" i="60"/>
  <c r="E8" i="60" s="1"/>
  <c r="B8" i="60"/>
  <c r="F104" i="59"/>
  <c r="C104" i="59"/>
  <c r="B104" i="59"/>
  <c r="F103" i="59"/>
  <c r="C103" i="59"/>
  <c r="B103" i="59"/>
  <c r="F102" i="59"/>
  <c r="C102" i="59"/>
  <c r="B102" i="59"/>
  <c r="F101" i="59"/>
  <c r="C101" i="59"/>
  <c r="B101" i="59"/>
  <c r="F100" i="59"/>
  <c r="C100" i="59"/>
  <c r="B100" i="59"/>
  <c r="F99" i="59"/>
  <c r="C99" i="59"/>
  <c r="B99" i="59"/>
  <c r="F98" i="59"/>
  <c r="C98" i="59"/>
  <c r="B98" i="59"/>
  <c r="F97" i="59"/>
  <c r="C97" i="59"/>
  <c r="E97" i="59" s="1"/>
  <c r="B97" i="59"/>
  <c r="F96" i="59"/>
  <c r="C96" i="59"/>
  <c r="B96" i="59"/>
  <c r="F95" i="59"/>
  <c r="C95" i="59"/>
  <c r="B95" i="59"/>
  <c r="F94" i="59"/>
  <c r="C94" i="59"/>
  <c r="B94" i="59"/>
  <c r="F93" i="59"/>
  <c r="C93" i="59"/>
  <c r="B93" i="59"/>
  <c r="F92" i="59"/>
  <c r="C92" i="59"/>
  <c r="B92" i="59"/>
  <c r="F91" i="59"/>
  <c r="C91" i="59"/>
  <c r="B91" i="59"/>
  <c r="F90" i="59"/>
  <c r="C90" i="59"/>
  <c r="B90" i="59"/>
  <c r="F89" i="59"/>
  <c r="C89" i="59"/>
  <c r="E89" i="59" s="1"/>
  <c r="B89" i="59"/>
  <c r="F88" i="59"/>
  <c r="C88" i="59"/>
  <c r="B88" i="59"/>
  <c r="F87" i="59"/>
  <c r="C87" i="59"/>
  <c r="B87" i="59"/>
  <c r="F86" i="59"/>
  <c r="C86" i="59"/>
  <c r="B86" i="59"/>
  <c r="F85" i="59"/>
  <c r="C85" i="59"/>
  <c r="B85" i="59"/>
  <c r="F84" i="59"/>
  <c r="C84" i="59"/>
  <c r="B84" i="59"/>
  <c r="F83" i="59"/>
  <c r="C83" i="59"/>
  <c r="B83" i="59"/>
  <c r="F82" i="59"/>
  <c r="C82" i="59"/>
  <c r="B82" i="59"/>
  <c r="F81" i="59"/>
  <c r="C81" i="59"/>
  <c r="B81" i="59"/>
  <c r="F80" i="59"/>
  <c r="C80" i="59"/>
  <c r="B80" i="59"/>
  <c r="F79" i="59"/>
  <c r="C79" i="59"/>
  <c r="B79" i="59"/>
  <c r="F78" i="59"/>
  <c r="C78" i="59"/>
  <c r="B78" i="59"/>
  <c r="F77" i="59"/>
  <c r="C77" i="59"/>
  <c r="B77" i="59"/>
  <c r="F76" i="59"/>
  <c r="C76" i="59"/>
  <c r="E76" i="59" s="1"/>
  <c r="B76" i="59"/>
  <c r="F75" i="59"/>
  <c r="C75" i="59"/>
  <c r="B75" i="59"/>
  <c r="F74" i="59"/>
  <c r="C74" i="59"/>
  <c r="B74" i="59"/>
  <c r="F73" i="59"/>
  <c r="C73" i="59"/>
  <c r="B73" i="59"/>
  <c r="F72" i="59"/>
  <c r="C72" i="59"/>
  <c r="B72" i="59"/>
  <c r="F71" i="59"/>
  <c r="C71" i="59"/>
  <c r="B71" i="59"/>
  <c r="F70" i="59"/>
  <c r="C70" i="59"/>
  <c r="B70" i="59"/>
  <c r="F69" i="59"/>
  <c r="C69" i="59"/>
  <c r="B69" i="59"/>
  <c r="F68" i="59"/>
  <c r="C68" i="59"/>
  <c r="B68" i="59"/>
  <c r="F67" i="59"/>
  <c r="C67" i="59"/>
  <c r="E67" i="59" s="1"/>
  <c r="B67" i="59"/>
  <c r="F66" i="59"/>
  <c r="C66" i="59"/>
  <c r="B66" i="59"/>
  <c r="F65" i="59"/>
  <c r="C65" i="59"/>
  <c r="B65" i="59"/>
  <c r="F64" i="59"/>
  <c r="C64" i="59"/>
  <c r="B64" i="59"/>
  <c r="F63" i="59"/>
  <c r="C63" i="59"/>
  <c r="B63" i="59"/>
  <c r="F62" i="59"/>
  <c r="C62" i="59"/>
  <c r="B62" i="59"/>
  <c r="F61" i="59"/>
  <c r="C61" i="59"/>
  <c r="B61" i="59"/>
  <c r="F60" i="59"/>
  <c r="C60" i="59"/>
  <c r="B60" i="59"/>
  <c r="F59" i="59"/>
  <c r="C59" i="59"/>
  <c r="B59" i="59"/>
  <c r="F58" i="59"/>
  <c r="C58" i="59"/>
  <c r="B58" i="59"/>
  <c r="F57" i="59"/>
  <c r="C57" i="59"/>
  <c r="B57" i="59"/>
  <c r="F56" i="59"/>
  <c r="C56" i="59"/>
  <c r="E56" i="59" s="1"/>
  <c r="B56" i="59"/>
  <c r="F55" i="59"/>
  <c r="C55" i="59"/>
  <c r="B55" i="59"/>
  <c r="F54" i="59"/>
  <c r="C54" i="59"/>
  <c r="B54" i="59"/>
  <c r="F53" i="59"/>
  <c r="C53" i="59"/>
  <c r="B53" i="59"/>
  <c r="F52" i="59"/>
  <c r="C52" i="59"/>
  <c r="B52" i="59"/>
  <c r="F51" i="59"/>
  <c r="C51" i="59"/>
  <c r="B51" i="59"/>
  <c r="F50" i="59"/>
  <c r="C50" i="59"/>
  <c r="B50" i="59"/>
  <c r="F49" i="59"/>
  <c r="C49" i="59"/>
  <c r="B49" i="59"/>
  <c r="F48" i="59"/>
  <c r="C48" i="59"/>
  <c r="B48" i="59"/>
  <c r="F47" i="59"/>
  <c r="C47" i="59"/>
  <c r="B47" i="59"/>
  <c r="F46" i="59"/>
  <c r="C46" i="59"/>
  <c r="B46" i="59"/>
  <c r="F45" i="59"/>
  <c r="C45" i="59"/>
  <c r="B45" i="59"/>
  <c r="F44" i="59"/>
  <c r="C44" i="59"/>
  <c r="E44" i="59" s="1"/>
  <c r="B44" i="59"/>
  <c r="F43" i="59"/>
  <c r="C43" i="59"/>
  <c r="B43" i="59"/>
  <c r="F42" i="59"/>
  <c r="C42" i="59"/>
  <c r="B42" i="59"/>
  <c r="F41" i="59"/>
  <c r="C41" i="59"/>
  <c r="B41" i="59"/>
  <c r="F40" i="59"/>
  <c r="C40" i="59"/>
  <c r="B40" i="59"/>
  <c r="F39" i="59"/>
  <c r="C39" i="59"/>
  <c r="B39" i="59"/>
  <c r="F38" i="59"/>
  <c r="C38" i="59"/>
  <c r="B38" i="59"/>
  <c r="F37" i="59"/>
  <c r="C37" i="59"/>
  <c r="B37" i="59"/>
  <c r="F36" i="59"/>
  <c r="C36" i="59"/>
  <c r="B36" i="59"/>
  <c r="F35" i="59"/>
  <c r="C35" i="59"/>
  <c r="B35" i="59"/>
  <c r="F34" i="59"/>
  <c r="C34" i="59"/>
  <c r="B34" i="59"/>
  <c r="F33" i="59"/>
  <c r="C33" i="59"/>
  <c r="B33" i="59"/>
  <c r="F32" i="59"/>
  <c r="C32" i="59"/>
  <c r="B32" i="59"/>
  <c r="F31" i="59"/>
  <c r="C31" i="59"/>
  <c r="B31" i="59"/>
  <c r="F30" i="59"/>
  <c r="C30" i="59"/>
  <c r="E30" i="59" s="1"/>
  <c r="B30" i="59"/>
  <c r="F29" i="59"/>
  <c r="C29" i="59"/>
  <c r="B29" i="59"/>
  <c r="F28" i="59"/>
  <c r="C28" i="59"/>
  <c r="B28" i="59"/>
  <c r="F27" i="59"/>
  <c r="C27" i="59"/>
  <c r="B27" i="59"/>
  <c r="F26" i="59"/>
  <c r="C26" i="59"/>
  <c r="B26" i="59"/>
  <c r="F25" i="59"/>
  <c r="C25" i="59"/>
  <c r="B25" i="59"/>
  <c r="F24" i="59"/>
  <c r="C24" i="59"/>
  <c r="B24" i="59"/>
  <c r="F23" i="59"/>
  <c r="C23" i="59"/>
  <c r="B23" i="59"/>
  <c r="F22" i="59"/>
  <c r="C22" i="59"/>
  <c r="B22" i="59"/>
  <c r="F21" i="59"/>
  <c r="C21" i="59"/>
  <c r="B21" i="59"/>
  <c r="F20" i="59"/>
  <c r="C20" i="59"/>
  <c r="B20" i="59"/>
  <c r="F19" i="59"/>
  <c r="C19" i="59"/>
  <c r="B19" i="59"/>
  <c r="F18" i="59"/>
  <c r="C18" i="59"/>
  <c r="B18" i="59"/>
  <c r="F17" i="59"/>
  <c r="C17" i="59"/>
  <c r="B17" i="59"/>
  <c r="F16" i="59"/>
  <c r="C16" i="59"/>
  <c r="B16" i="59"/>
  <c r="F15" i="59"/>
  <c r="C15" i="59"/>
  <c r="E15" i="59" s="1"/>
  <c r="B15" i="59"/>
  <c r="F14" i="59"/>
  <c r="C14" i="59"/>
  <c r="B14" i="59"/>
  <c r="F13" i="59"/>
  <c r="C13" i="59"/>
  <c r="B13" i="59"/>
  <c r="F12" i="59"/>
  <c r="C12" i="59"/>
  <c r="B12" i="59"/>
  <c r="F11" i="59"/>
  <c r="C11" i="59"/>
  <c r="B11" i="59"/>
  <c r="F10" i="59"/>
  <c r="C10" i="59"/>
  <c r="B10" i="59"/>
  <c r="F9" i="59"/>
  <c r="C9" i="59"/>
  <c r="B9" i="59"/>
  <c r="F8" i="59"/>
  <c r="C8" i="59"/>
  <c r="E8" i="59" s="1"/>
  <c r="B8" i="59"/>
  <c r="F76" i="52"/>
  <c r="C76" i="52"/>
  <c r="B76" i="52"/>
  <c r="F75" i="52"/>
  <c r="C75" i="52"/>
  <c r="B75" i="52"/>
  <c r="F74" i="52"/>
  <c r="C74" i="52"/>
  <c r="B74" i="52"/>
  <c r="F73" i="52"/>
  <c r="C73" i="52"/>
  <c r="B73" i="52"/>
  <c r="F72" i="52"/>
  <c r="C72" i="52"/>
  <c r="B72" i="52"/>
  <c r="F71" i="52"/>
  <c r="C71" i="52"/>
  <c r="B71" i="52"/>
  <c r="F70" i="52"/>
  <c r="C70" i="52"/>
  <c r="B70" i="52"/>
  <c r="F69" i="52"/>
  <c r="C69" i="52"/>
  <c r="B69" i="52"/>
  <c r="F68" i="52"/>
  <c r="C68" i="52"/>
  <c r="B68" i="52"/>
  <c r="F67" i="52"/>
  <c r="C67" i="52"/>
  <c r="B67" i="52"/>
  <c r="F66" i="52"/>
  <c r="C66" i="52"/>
  <c r="E66" i="52" s="1"/>
  <c r="B66" i="52"/>
  <c r="F65" i="52"/>
  <c r="C65" i="52"/>
  <c r="B65" i="52"/>
  <c r="F64" i="52"/>
  <c r="C64" i="52"/>
  <c r="B64" i="52"/>
  <c r="F63" i="52"/>
  <c r="C63" i="52"/>
  <c r="B63" i="52"/>
  <c r="F62" i="52"/>
  <c r="C62" i="52"/>
  <c r="B62" i="52"/>
  <c r="F61" i="52"/>
  <c r="C61" i="52"/>
  <c r="E61" i="52" s="1"/>
  <c r="B61" i="52"/>
  <c r="F60" i="52"/>
  <c r="C60" i="52"/>
  <c r="B60" i="52"/>
  <c r="F59" i="52"/>
  <c r="C59" i="52"/>
  <c r="B59" i="52"/>
  <c r="F58" i="52"/>
  <c r="C58" i="52"/>
  <c r="B58" i="52"/>
  <c r="F57" i="52"/>
  <c r="C57" i="52"/>
  <c r="B57" i="52"/>
  <c r="F56" i="52"/>
  <c r="C56" i="52"/>
  <c r="B56" i="52"/>
  <c r="F55" i="52"/>
  <c r="C55" i="52"/>
  <c r="B55" i="52"/>
  <c r="F54" i="52"/>
  <c r="C54" i="52"/>
  <c r="B54" i="52"/>
  <c r="F53" i="52"/>
  <c r="C53" i="52"/>
  <c r="B53" i="52"/>
  <c r="F52" i="52"/>
  <c r="C52" i="52"/>
  <c r="B52" i="52"/>
  <c r="F51" i="52"/>
  <c r="C51" i="52"/>
  <c r="B51" i="52"/>
  <c r="F50" i="52"/>
  <c r="C50" i="52"/>
  <c r="B50" i="52"/>
  <c r="F49" i="52"/>
  <c r="C49" i="52"/>
  <c r="B49" i="52"/>
  <c r="F48" i="52"/>
  <c r="C48" i="52"/>
  <c r="E48" i="52" s="1"/>
  <c r="B48" i="52"/>
  <c r="F47" i="52"/>
  <c r="C47" i="52"/>
  <c r="B47" i="52"/>
  <c r="F46" i="52"/>
  <c r="C46" i="52"/>
  <c r="B46" i="52"/>
  <c r="F45" i="52"/>
  <c r="C45" i="52"/>
  <c r="B45" i="52"/>
  <c r="F44" i="52"/>
  <c r="C44" i="52"/>
  <c r="B44" i="52"/>
  <c r="F43" i="52"/>
  <c r="C43" i="52"/>
  <c r="B43" i="52"/>
  <c r="F42" i="52"/>
  <c r="C42" i="52"/>
  <c r="B42" i="52"/>
  <c r="F41" i="52"/>
  <c r="C41" i="52"/>
  <c r="B41" i="52"/>
  <c r="F40" i="52"/>
  <c r="C40" i="52"/>
  <c r="B40" i="52"/>
  <c r="F39" i="52"/>
  <c r="C39" i="52"/>
  <c r="B39" i="52"/>
  <c r="F38" i="52"/>
  <c r="C38" i="52"/>
  <c r="E38" i="52" s="1"/>
  <c r="B38" i="52"/>
  <c r="F37" i="52"/>
  <c r="C37" i="52"/>
  <c r="B37" i="52"/>
  <c r="F36" i="52"/>
  <c r="C36" i="52"/>
  <c r="B36" i="52"/>
  <c r="F35" i="52"/>
  <c r="C35" i="52"/>
  <c r="B35" i="52"/>
  <c r="F34" i="52"/>
  <c r="C34" i="52"/>
  <c r="B34" i="52"/>
  <c r="F33" i="52"/>
  <c r="C33" i="52"/>
  <c r="B33" i="52"/>
  <c r="F32" i="52"/>
  <c r="C32" i="52"/>
  <c r="B32" i="52"/>
  <c r="F31" i="52"/>
  <c r="C31" i="52"/>
  <c r="B31" i="52"/>
  <c r="F30" i="52"/>
  <c r="C30" i="52"/>
  <c r="E30" i="52" s="1"/>
  <c r="B30" i="52"/>
  <c r="F29" i="52"/>
  <c r="C29" i="52"/>
  <c r="B29" i="52"/>
  <c r="F28" i="52"/>
  <c r="C28" i="52"/>
  <c r="B28" i="52"/>
  <c r="F27" i="52"/>
  <c r="C27" i="52"/>
  <c r="B27" i="52"/>
  <c r="F26" i="52"/>
  <c r="C26" i="52"/>
  <c r="B26" i="52"/>
  <c r="F25" i="52"/>
  <c r="C25" i="52"/>
  <c r="B25" i="52"/>
  <c r="F24" i="52"/>
  <c r="C24" i="52"/>
  <c r="B24" i="52"/>
  <c r="F23" i="52"/>
  <c r="C23" i="52"/>
  <c r="B23" i="52"/>
  <c r="F22" i="52"/>
  <c r="C22" i="52"/>
  <c r="B22" i="52"/>
  <c r="F21" i="52"/>
  <c r="C21" i="52"/>
  <c r="B21" i="52"/>
  <c r="F20" i="52"/>
  <c r="C20" i="52"/>
  <c r="B20" i="52"/>
  <c r="F19" i="52"/>
  <c r="C19" i="52"/>
  <c r="B19" i="52"/>
  <c r="F18" i="52"/>
  <c r="C18" i="52"/>
  <c r="E18" i="52" s="1"/>
  <c r="B18" i="52"/>
  <c r="F17" i="52"/>
  <c r="C17" i="52"/>
  <c r="B17" i="52"/>
  <c r="F16" i="52"/>
  <c r="C16" i="52"/>
  <c r="B16" i="52"/>
  <c r="F15" i="52"/>
  <c r="C15" i="52"/>
  <c r="B15" i="52"/>
  <c r="F14" i="52"/>
  <c r="C14" i="52"/>
  <c r="B14" i="52"/>
  <c r="F13" i="52"/>
  <c r="C13" i="52"/>
  <c r="B13" i="52"/>
  <c r="F12" i="52"/>
  <c r="C12" i="52"/>
  <c r="B12" i="52"/>
  <c r="F11" i="52"/>
  <c r="C11" i="52"/>
  <c r="B11" i="52"/>
  <c r="F10" i="52"/>
  <c r="C10" i="52"/>
  <c r="B10" i="52"/>
  <c r="F9" i="52"/>
  <c r="C9" i="52"/>
  <c r="B9" i="52"/>
  <c r="F8" i="52"/>
  <c r="C8" i="52"/>
  <c r="E8" i="52" s="1"/>
  <c r="B8" i="52"/>
  <c r="X205" i="34"/>
  <c r="F205" i="34"/>
  <c r="C205" i="34"/>
  <c r="B205" i="34"/>
  <c r="X204" i="34"/>
  <c r="F204" i="34"/>
  <c r="C204" i="34"/>
  <c r="B204" i="34"/>
  <c r="X203" i="34"/>
  <c r="F203" i="34"/>
  <c r="C203" i="34"/>
  <c r="B203" i="34"/>
  <c r="X202" i="34"/>
  <c r="F202" i="34"/>
  <c r="C202" i="34"/>
  <c r="B202" i="34"/>
  <c r="X201" i="34"/>
  <c r="F201" i="34"/>
  <c r="C201" i="34"/>
  <c r="B201" i="34"/>
  <c r="X200" i="34"/>
  <c r="F200" i="34"/>
  <c r="C200" i="34"/>
  <c r="B200" i="34"/>
  <c r="X199" i="34"/>
  <c r="F199" i="34"/>
  <c r="C199" i="34"/>
  <c r="E199" i="34" s="1"/>
  <c r="B199" i="34"/>
  <c r="X198" i="34"/>
  <c r="F198" i="34"/>
  <c r="C198" i="34"/>
  <c r="B198" i="34"/>
  <c r="X197" i="34"/>
  <c r="F197" i="34"/>
  <c r="C197" i="34"/>
  <c r="B197" i="34"/>
  <c r="X196" i="34"/>
  <c r="F196" i="34"/>
  <c r="C196" i="34"/>
  <c r="B196" i="34"/>
  <c r="X195" i="34"/>
  <c r="F195" i="34"/>
  <c r="C195" i="34"/>
  <c r="B195" i="34"/>
  <c r="X194" i="34"/>
  <c r="F194" i="34"/>
  <c r="C194" i="34"/>
  <c r="E194" i="34" s="1"/>
  <c r="B194" i="34"/>
  <c r="X193" i="34"/>
  <c r="F193" i="34"/>
  <c r="C193" i="34"/>
  <c r="B193" i="34"/>
  <c r="X192" i="34"/>
  <c r="F192" i="34"/>
  <c r="C192" i="34"/>
  <c r="B192" i="34"/>
  <c r="X191" i="34"/>
  <c r="F191" i="34"/>
  <c r="C191" i="34"/>
  <c r="B191" i="34"/>
  <c r="X190" i="34"/>
  <c r="F190" i="34"/>
  <c r="C190" i="34"/>
  <c r="E190" i="34" s="1"/>
  <c r="B190" i="34"/>
  <c r="X189" i="34"/>
  <c r="F189" i="34"/>
  <c r="C189" i="34"/>
  <c r="B189" i="34"/>
  <c r="X188" i="34"/>
  <c r="F188" i="34"/>
  <c r="C188" i="34"/>
  <c r="B188" i="34"/>
  <c r="X187" i="34"/>
  <c r="F187" i="34"/>
  <c r="C187" i="34"/>
  <c r="B187" i="34"/>
  <c r="X186" i="34"/>
  <c r="F186" i="34"/>
  <c r="C186" i="34"/>
  <c r="B186" i="34"/>
  <c r="X185" i="34"/>
  <c r="F185" i="34"/>
  <c r="C185" i="34"/>
  <c r="E185" i="34" s="1"/>
  <c r="B185" i="34"/>
  <c r="X184" i="34"/>
  <c r="F184" i="34"/>
  <c r="C184" i="34"/>
  <c r="B184" i="34"/>
  <c r="X183" i="34"/>
  <c r="F183" i="34"/>
  <c r="C183" i="34"/>
  <c r="B183" i="34"/>
  <c r="X182" i="34"/>
  <c r="F182" i="34"/>
  <c r="C182" i="34"/>
  <c r="B182" i="34"/>
  <c r="X181" i="34"/>
  <c r="F181" i="34"/>
  <c r="C181" i="34"/>
  <c r="E181" i="34" s="1"/>
  <c r="B181" i="34"/>
  <c r="X180" i="34"/>
  <c r="F180" i="34"/>
  <c r="C180" i="34"/>
  <c r="B180" i="34"/>
  <c r="X179" i="34"/>
  <c r="F179" i="34"/>
  <c r="C179" i="34"/>
  <c r="B179" i="34"/>
  <c r="X178" i="34"/>
  <c r="F178" i="34"/>
  <c r="C178" i="34"/>
  <c r="B178" i="34"/>
  <c r="X177" i="34"/>
  <c r="F177" i="34"/>
  <c r="C177" i="34"/>
  <c r="E177" i="34" s="1"/>
  <c r="B177" i="34"/>
  <c r="X176" i="34"/>
  <c r="F176" i="34"/>
  <c r="C176" i="34"/>
  <c r="B176" i="34"/>
  <c r="X175" i="34"/>
  <c r="F175" i="34"/>
  <c r="C175" i="34"/>
  <c r="B175" i="34"/>
  <c r="X174" i="34"/>
  <c r="F174" i="34"/>
  <c r="C174" i="34"/>
  <c r="B174" i="34"/>
  <c r="X173" i="34"/>
  <c r="F173" i="34"/>
  <c r="C173" i="34"/>
  <c r="B173" i="34"/>
  <c r="X172" i="34"/>
  <c r="F172" i="34"/>
  <c r="C172" i="34"/>
  <c r="B172" i="34"/>
  <c r="X171" i="34"/>
  <c r="F171" i="34"/>
  <c r="C171" i="34"/>
  <c r="B171" i="34"/>
  <c r="X170" i="34"/>
  <c r="F170" i="34"/>
  <c r="C170" i="34"/>
  <c r="B170" i="34"/>
  <c r="X169" i="34"/>
  <c r="F169" i="34"/>
  <c r="C169" i="34"/>
  <c r="B169" i="34"/>
  <c r="X168" i="34"/>
  <c r="F168" i="34"/>
  <c r="C168" i="34"/>
  <c r="E168" i="34" s="1"/>
  <c r="B168" i="34"/>
  <c r="X167" i="34"/>
  <c r="F167" i="34"/>
  <c r="C167" i="34"/>
  <c r="B167" i="34"/>
  <c r="X166" i="34"/>
  <c r="F166" i="34"/>
  <c r="C166" i="34"/>
  <c r="B166" i="34"/>
  <c r="X165" i="34"/>
  <c r="F165" i="34"/>
  <c r="C165" i="34"/>
  <c r="B165" i="34"/>
  <c r="X164" i="34"/>
  <c r="F164" i="34"/>
  <c r="C164" i="34"/>
  <c r="B164" i="34"/>
  <c r="X163" i="34"/>
  <c r="F163" i="34"/>
  <c r="C163" i="34"/>
  <c r="B163" i="34"/>
  <c r="X162" i="34"/>
  <c r="F162" i="34"/>
  <c r="C162" i="34"/>
  <c r="B162" i="34"/>
  <c r="X161" i="34"/>
  <c r="F161" i="34"/>
  <c r="C161" i="34"/>
  <c r="B161" i="34"/>
  <c r="X160" i="34"/>
  <c r="F160" i="34"/>
  <c r="C160" i="34"/>
  <c r="E160" i="34" s="1"/>
  <c r="B160" i="34"/>
  <c r="X159" i="34"/>
  <c r="F159" i="34"/>
  <c r="C159" i="34"/>
  <c r="B159" i="34"/>
  <c r="X158" i="34"/>
  <c r="F158" i="34"/>
  <c r="C158" i="34"/>
  <c r="B158" i="34"/>
  <c r="X157" i="34"/>
  <c r="F157" i="34"/>
  <c r="C157" i="34"/>
  <c r="B157" i="34"/>
  <c r="X156" i="34"/>
  <c r="F156" i="34"/>
  <c r="C156" i="34"/>
  <c r="B156" i="34"/>
  <c r="X155" i="34"/>
  <c r="F155" i="34"/>
  <c r="C155" i="34"/>
  <c r="B155" i="34"/>
  <c r="X154" i="34"/>
  <c r="F154" i="34"/>
  <c r="C154" i="34"/>
  <c r="B154" i="34"/>
  <c r="X153" i="34"/>
  <c r="F153" i="34"/>
  <c r="C153" i="34"/>
  <c r="B153" i="34"/>
  <c r="X152" i="34"/>
  <c r="F152" i="34"/>
  <c r="C152" i="34"/>
  <c r="B152" i="34"/>
  <c r="X151" i="34"/>
  <c r="F151" i="34"/>
  <c r="C151" i="34"/>
  <c r="B151" i="34"/>
  <c r="X150" i="34"/>
  <c r="F150" i="34"/>
  <c r="C150" i="34"/>
  <c r="B150" i="34"/>
  <c r="X149" i="34"/>
  <c r="F149" i="34"/>
  <c r="C149" i="34"/>
  <c r="B149" i="34"/>
  <c r="X148" i="34"/>
  <c r="F148" i="34"/>
  <c r="C148" i="34"/>
  <c r="B148" i="34"/>
  <c r="X147" i="34"/>
  <c r="F147" i="34"/>
  <c r="C147" i="34"/>
  <c r="E147" i="34" s="1"/>
  <c r="B147" i="34"/>
  <c r="X146" i="34"/>
  <c r="F146" i="34"/>
  <c r="C146" i="34"/>
  <c r="B146" i="34"/>
  <c r="X145" i="34"/>
  <c r="F145" i="34"/>
  <c r="C145" i="34"/>
  <c r="B145" i="34"/>
  <c r="X144" i="34"/>
  <c r="F144" i="34"/>
  <c r="C144" i="34"/>
  <c r="B144" i="34"/>
  <c r="X143" i="34"/>
  <c r="F143" i="34"/>
  <c r="C143" i="34"/>
  <c r="B143" i="34"/>
  <c r="X142" i="34"/>
  <c r="F142" i="34"/>
  <c r="C142" i="34"/>
  <c r="B142" i="34"/>
  <c r="X141" i="34"/>
  <c r="F141" i="34"/>
  <c r="C141" i="34"/>
  <c r="B141" i="34"/>
  <c r="X140" i="34"/>
  <c r="F140" i="34"/>
  <c r="C140" i="34"/>
  <c r="B140" i="34"/>
  <c r="X139" i="34"/>
  <c r="F139" i="34"/>
  <c r="C139" i="34"/>
  <c r="B139" i="34"/>
  <c r="X138" i="34"/>
  <c r="F138" i="34"/>
  <c r="C138" i="34"/>
  <c r="E138" i="34" s="1"/>
  <c r="B138" i="34"/>
  <c r="X137" i="34"/>
  <c r="F137" i="34"/>
  <c r="C137" i="34"/>
  <c r="B137" i="34"/>
  <c r="X136" i="34"/>
  <c r="F136" i="34"/>
  <c r="C136" i="34"/>
  <c r="B136" i="34"/>
  <c r="X135" i="34"/>
  <c r="F135" i="34"/>
  <c r="C135" i="34"/>
  <c r="B135" i="34"/>
  <c r="X134" i="34"/>
  <c r="F134" i="34"/>
  <c r="C134" i="34"/>
  <c r="B134" i="34"/>
  <c r="X133" i="34"/>
  <c r="F133" i="34"/>
  <c r="C133" i="34"/>
  <c r="B133" i="34"/>
  <c r="X132" i="34"/>
  <c r="F132" i="34"/>
  <c r="C132" i="34"/>
  <c r="B132" i="34"/>
  <c r="X131" i="34"/>
  <c r="F131" i="34"/>
  <c r="C131" i="34"/>
  <c r="B131" i="34"/>
  <c r="X130" i="34"/>
  <c r="F130" i="34"/>
  <c r="C130" i="34"/>
  <c r="B130" i="34"/>
  <c r="X129" i="34"/>
  <c r="F129" i="34"/>
  <c r="C129" i="34"/>
  <c r="B129" i="34"/>
  <c r="X128" i="34"/>
  <c r="F128" i="34"/>
  <c r="C128" i="34"/>
  <c r="B128" i="34"/>
  <c r="X127" i="34"/>
  <c r="F127" i="34"/>
  <c r="C127" i="34"/>
  <c r="E127" i="34" s="1"/>
  <c r="B127" i="34"/>
  <c r="X126" i="34"/>
  <c r="F126" i="34"/>
  <c r="C126" i="34"/>
  <c r="B126" i="34"/>
  <c r="X125" i="34"/>
  <c r="F125" i="34"/>
  <c r="C125" i="34"/>
  <c r="B125" i="34"/>
  <c r="X124" i="34"/>
  <c r="F124" i="34"/>
  <c r="C124" i="34"/>
  <c r="B124" i="34"/>
  <c r="X123" i="34"/>
  <c r="F123" i="34"/>
  <c r="C123" i="34"/>
  <c r="B123" i="34"/>
  <c r="X122" i="34"/>
  <c r="F122" i="34"/>
  <c r="C122" i="34"/>
  <c r="B122" i="34"/>
  <c r="X121" i="34"/>
  <c r="F121" i="34"/>
  <c r="C121" i="34"/>
  <c r="B121" i="34"/>
  <c r="X120" i="34"/>
  <c r="F120" i="34"/>
  <c r="C120" i="34"/>
  <c r="B120" i="34"/>
  <c r="X119" i="34"/>
  <c r="F119" i="34"/>
  <c r="C119" i="34"/>
  <c r="B119" i="34"/>
  <c r="X118" i="34"/>
  <c r="F118" i="34"/>
  <c r="C118" i="34"/>
  <c r="B118" i="34"/>
  <c r="X117" i="34"/>
  <c r="F117" i="34"/>
  <c r="C117" i="34"/>
  <c r="B117" i="34"/>
  <c r="X116" i="34"/>
  <c r="F116" i="34"/>
  <c r="C116" i="34"/>
  <c r="B116" i="34"/>
  <c r="X115" i="34"/>
  <c r="F115" i="34"/>
  <c r="C115" i="34"/>
  <c r="E115" i="34" s="1"/>
  <c r="B115" i="34"/>
  <c r="X114" i="34"/>
  <c r="F114" i="34"/>
  <c r="C114" i="34"/>
  <c r="B114" i="34"/>
  <c r="X113" i="34"/>
  <c r="F113" i="34"/>
  <c r="C113" i="34"/>
  <c r="B113" i="34"/>
  <c r="X112" i="34"/>
  <c r="F112" i="34"/>
  <c r="C112" i="34"/>
  <c r="B112" i="34"/>
  <c r="X111" i="34"/>
  <c r="F111" i="34"/>
  <c r="C111" i="34"/>
  <c r="B111" i="34"/>
  <c r="X110" i="34"/>
  <c r="F110" i="34"/>
  <c r="C110" i="34"/>
  <c r="B110" i="34"/>
  <c r="X109" i="34"/>
  <c r="F109" i="34"/>
  <c r="C109" i="34"/>
  <c r="B109" i="34"/>
  <c r="X108" i="34"/>
  <c r="F108" i="34"/>
  <c r="C108" i="34"/>
  <c r="B108" i="34"/>
  <c r="X107" i="34"/>
  <c r="F107" i="34"/>
  <c r="C107" i="34"/>
  <c r="B107" i="34"/>
  <c r="X106" i="34"/>
  <c r="F106" i="34"/>
  <c r="C106" i="34"/>
  <c r="B106" i="34"/>
  <c r="X105" i="34"/>
  <c r="F105" i="34"/>
  <c r="C105" i="34"/>
  <c r="B105" i="34"/>
  <c r="X104" i="34"/>
  <c r="F104" i="34"/>
  <c r="C104" i="34"/>
  <c r="B104" i="34"/>
  <c r="X103" i="34"/>
  <c r="F103" i="34"/>
  <c r="C103" i="34"/>
  <c r="B103" i="34"/>
  <c r="X102" i="34"/>
  <c r="F102" i="34"/>
  <c r="C102" i="34"/>
  <c r="B102" i="34"/>
  <c r="X101" i="34"/>
  <c r="F101" i="34"/>
  <c r="C101" i="34"/>
  <c r="E101" i="34" s="1"/>
  <c r="B101" i="34"/>
  <c r="X100" i="34"/>
  <c r="F100" i="34"/>
  <c r="C100" i="34"/>
  <c r="B100" i="34"/>
  <c r="X99" i="34"/>
  <c r="F99" i="34"/>
  <c r="C99" i="34"/>
  <c r="B99" i="34"/>
  <c r="X98" i="34"/>
  <c r="F98" i="34"/>
  <c r="C98" i="34"/>
  <c r="B98" i="34"/>
  <c r="X97" i="34"/>
  <c r="F97" i="34"/>
  <c r="C97" i="34"/>
  <c r="B97" i="34"/>
  <c r="X96" i="34"/>
  <c r="F96" i="34"/>
  <c r="C96" i="34"/>
  <c r="B96" i="34"/>
  <c r="X95" i="34"/>
  <c r="F95" i="34"/>
  <c r="C95" i="34"/>
  <c r="B95" i="34"/>
  <c r="X94" i="34"/>
  <c r="F94" i="34"/>
  <c r="C94" i="34"/>
  <c r="B94" i="34"/>
  <c r="X93" i="34"/>
  <c r="F93" i="34"/>
  <c r="C93" i="34"/>
  <c r="B93" i="34"/>
  <c r="X92" i="34"/>
  <c r="F92" i="34"/>
  <c r="C92" i="34"/>
  <c r="B92" i="34"/>
  <c r="X91" i="34"/>
  <c r="F91" i="34"/>
  <c r="C91" i="34"/>
  <c r="B91" i="34"/>
  <c r="X90" i="34"/>
  <c r="F90" i="34"/>
  <c r="C90" i="34"/>
  <c r="B90" i="34"/>
  <c r="X89" i="34"/>
  <c r="F89" i="34"/>
  <c r="C89" i="34"/>
  <c r="B89" i="34"/>
  <c r="X88" i="34"/>
  <c r="F88" i="34"/>
  <c r="C88" i="34"/>
  <c r="B88" i="34"/>
  <c r="X87" i="34"/>
  <c r="F87" i="34"/>
  <c r="C87" i="34"/>
  <c r="B87" i="34"/>
  <c r="X86" i="34"/>
  <c r="F86" i="34"/>
  <c r="C86" i="34"/>
  <c r="E86" i="34" s="1"/>
  <c r="B86" i="34"/>
  <c r="X85" i="34"/>
  <c r="F85" i="34"/>
  <c r="C85" i="34"/>
  <c r="B85" i="34"/>
  <c r="X84" i="34"/>
  <c r="F84" i="34"/>
  <c r="C84" i="34"/>
  <c r="B84" i="34"/>
  <c r="X83" i="34"/>
  <c r="F83" i="34"/>
  <c r="C83" i="34"/>
  <c r="B83" i="34"/>
  <c r="X82" i="34"/>
  <c r="F82" i="34"/>
  <c r="C82" i="34"/>
  <c r="B82" i="34"/>
  <c r="X81" i="34"/>
  <c r="F81" i="34"/>
  <c r="C81" i="34"/>
  <c r="B81" i="34"/>
  <c r="X80" i="34"/>
  <c r="F80" i="34"/>
  <c r="C80" i="34"/>
  <c r="B80" i="34"/>
  <c r="X79" i="34"/>
  <c r="F79" i="34"/>
  <c r="C79" i="34"/>
  <c r="E79" i="34" s="1"/>
  <c r="B79" i="34"/>
  <c r="X78" i="34"/>
  <c r="F78" i="34"/>
  <c r="C78" i="34"/>
  <c r="B78" i="34"/>
  <c r="X77" i="34"/>
  <c r="F77" i="34"/>
  <c r="C77" i="34"/>
  <c r="B77" i="34"/>
  <c r="X76" i="34"/>
  <c r="F76" i="34"/>
  <c r="C76" i="34"/>
  <c r="B76" i="34"/>
  <c r="X75" i="34"/>
  <c r="F75" i="34"/>
  <c r="C75" i="34"/>
  <c r="B75" i="34"/>
  <c r="X74" i="34"/>
  <c r="F74" i="34"/>
  <c r="C74" i="34"/>
  <c r="B74" i="34"/>
  <c r="X73" i="34"/>
  <c r="F73" i="34"/>
  <c r="C73" i="34"/>
  <c r="B73" i="34"/>
  <c r="X72" i="34"/>
  <c r="F72" i="34"/>
  <c r="C72" i="34"/>
  <c r="B72" i="34"/>
  <c r="X71" i="34"/>
  <c r="F71" i="34"/>
  <c r="C71" i="34"/>
  <c r="B71" i="34"/>
  <c r="X70" i="34"/>
  <c r="F70" i="34"/>
  <c r="C70" i="34"/>
  <c r="B70" i="34"/>
  <c r="X69" i="34"/>
  <c r="F69" i="34"/>
  <c r="C69" i="34"/>
  <c r="B69" i="34"/>
  <c r="X68" i="34"/>
  <c r="F68" i="34"/>
  <c r="C68" i="34"/>
  <c r="B68" i="34"/>
  <c r="X67" i="34"/>
  <c r="F67" i="34"/>
  <c r="C67" i="34"/>
  <c r="E67" i="34" s="1"/>
  <c r="B67" i="34"/>
  <c r="X66" i="34"/>
  <c r="F66" i="34"/>
  <c r="C66" i="34"/>
  <c r="B66" i="34"/>
  <c r="X65" i="34"/>
  <c r="F65" i="34"/>
  <c r="C65" i="34"/>
  <c r="B65" i="34"/>
  <c r="X64" i="34"/>
  <c r="F64" i="34"/>
  <c r="C64" i="34"/>
  <c r="B64" i="34"/>
  <c r="X63" i="34"/>
  <c r="F63" i="34"/>
  <c r="C63" i="34"/>
  <c r="B63" i="34"/>
  <c r="X62" i="34"/>
  <c r="F62" i="34"/>
  <c r="C62" i="34"/>
  <c r="E62" i="34" s="1"/>
  <c r="B62" i="34"/>
  <c r="X61" i="34"/>
  <c r="F61" i="34"/>
  <c r="C61" i="34"/>
  <c r="B61" i="34"/>
  <c r="X60" i="34"/>
  <c r="F60" i="34"/>
  <c r="C60" i="34"/>
  <c r="B60" i="34"/>
  <c r="X59" i="34"/>
  <c r="F59" i="34"/>
  <c r="C59" i="34"/>
  <c r="B59" i="34"/>
  <c r="X58" i="34"/>
  <c r="F58" i="34"/>
  <c r="C58" i="34"/>
  <c r="B58" i="34"/>
  <c r="X57" i="34"/>
  <c r="F57" i="34"/>
  <c r="C57" i="34"/>
  <c r="B57" i="34"/>
  <c r="X56" i="34"/>
  <c r="F56" i="34"/>
  <c r="C56" i="34"/>
  <c r="B56" i="34"/>
  <c r="X55" i="34"/>
  <c r="F55" i="34"/>
  <c r="C55" i="34"/>
  <c r="B55" i="34"/>
  <c r="X54" i="34"/>
  <c r="F54" i="34"/>
  <c r="C54" i="34"/>
  <c r="B54" i="34"/>
  <c r="X53" i="34"/>
  <c r="F53" i="34"/>
  <c r="C53" i="34"/>
  <c r="B53" i="34"/>
  <c r="X52" i="34"/>
  <c r="F52" i="34"/>
  <c r="C52" i="34"/>
  <c r="B52" i="34"/>
  <c r="X51" i="34"/>
  <c r="F51" i="34"/>
  <c r="C51" i="34"/>
  <c r="B51" i="34"/>
  <c r="X50" i="34"/>
  <c r="F50" i="34"/>
  <c r="C50" i="34"/>
  <c r="B50" i="34"/>
  <c r="X49" i="34"/>
  <c r="F49" i="34"/>
  <c r="C49" i="34"/>
  <c r="E49" i="34" s="1"/>
  <c r="B49" i="34"/>
  <c r="X48" i="34"/>
  <c r="F48" i="34"/>
  <c r="C48" i="34"/>
  <c r="B48" i="34"/>
  <c r="X47" i="34"/>
  <c r="F47" i="34"/>
  <c r="C47" i="34"/>
  <c r="B47" i="34"/>
  <c r="X46" i="34"/>
  <c r="F46" i="34"/>
  <c r="C46" i="34"/>
  <c r="B46" i="34"/>
  <c r="X45" i="34"/>
  <c r="F45" i="34"/>
  <c r="C45" i="34"/>
  <c r="B45" i="34"/>
  <c r="X44" i="34"/>
  <c r="F44" i="34"/>
  <c r="C44" i="34"/>
  <c r="B44" i="34"/>
  <c r="X43" i="34"/>
  <c r="F43" i="34"/>
  <c r="C43" i="34"/>
  <c r="B43" i="34"/>
  <c r="X42" i="34"/>
  <c r="F42" i="34"/>
  <c r="C42" i="34"/>
  <c r="B42" i="34"/>
  <c r="X41" i="34"/>
  <c r="F41" i="34"/>
  <c r="C41" i="34"/>
  <c r="B41" i="34"/>
  <c r="X40" i="34"/>
  <c r="F40" i="34"/>
  <c r="C40" i="34"/>
  <c r="B40" i="34"/>
  <c r="X39" i="34"/>
  <c r="F39" i="34"/>
  <c r="C39" i="34"/>
  <c r="E39" i="34" s="1"/>
  <c r="B39" i="34"/>
  <c r="X38" i="34"/>
  <c r="F38" i="34"/>
  <c r="C38" i="34"/>
  <c r="B38" i="34"/>
  <c r="X37" i="34"/>
  <c r="F37" i="34"/>
  <c r="C37" i="34"/>
  <c r="B37" i="34"/>
  <c r="X36" i="34"/>
  <c r="F36" i="34"/>
  <c r="C36" i="34"/>
  <c r="B36" i="34"/>
  <c r="X35" i="34"/>
  <c r="F35" i="34"/>
  <c r="C35" i="34"/>
  <c r="B35" i="34"/>
  <c r="X34" i="34"/>
  <c r="F34" i="34"/>
  <c r="C34" i="34"/>
  <c r="B34" i="34"/>
  <c r="X33" i="34"/>
  <c r="F33" i="34"/>
  <c r="C33" i="34"/>
  <c r="B33" i="34"/>
  <c r="X32" i="34"/>
  <c r="F32" i="34"/>
  <c r="C32" i="34"/>
  <c r="B32" i="34"/>
  <c r="X31" i="34"/>
  <c r="F31" i="34"/>
  <c r="C31" i="34"/>
  <c r="E31" i="34" s="1"/>
  <c r="B31" i="34"/>
  <c r="X30" i="34"/>
  <c r="F30" i="34"/>
  <c r="C30" i="34"/>
  <c r="B30" i="34"/>
  <c r="X29" i="34"/>
  <c r="F29" i="34"/>
  <c r="C29" i="34"/>
  <c r="B29" i="34"/>
  <c r="X28" i="34"/>
  <c r="F28" i="34"/>
  <c r="C28" i="34"/>
  <c r="B28" i="34"/>
  <c r="X27" i="34"/>
  <c r="F27" i="34"/>
  <c r="C27" i="34"/>
  <c r="B27" i="34"/>
  <c r="X26" i="34"/>
  <c r="F26" i="34"/>
  <c r="C26" i="34"/>
  <c r="B26" i="34"/>
  <c r="X25" i="34"/>
  <c r="F25" i="34"/>
  <c r="C25" i="34"/>
  <c r="B25" i="34"/>
  <c r="X24" i="34"/>
  <c r="F24" i="34"/>
  <c r="C24" i="34"/>
  <c r="B24" i="34"/>
  <c r="X23" i="34"/>
  <c r="F23" i="34"/>
  <c r="C23" i="34"/>
  <c r="B23" i="34"/>
  <c r="X22" i="34"/>
  <c r="F22" i="34"/>
  <c r="C22" i="34"/>
  <c r="B22" i="34"/>
  <c r="X21" i="34"/>
  <c r="F21" i="34"/>
  <c r="C21" i="34"/>
  <c r="B21" i="34"/>
  <c r="X20" i="34"/>
  <c r="F20" i="34"/>
  <c r="C20" i="34"/>
  <c r="B20" i="34"/>
  <c r="X19" i="34"/>
  <c r="F19" i="34"/>
  <c r="C19" i="34"/>
  <c r="E19" i="34" s="1"/>
  <c r="B19" i="34"/>
  <c r="X18" i="34"/>
  <c r="F18" i="34"/>
  <c r="C18" i="34"/>
  <c r="B18" i="34"/>
  <c r="X17" i="34"/>
  <c r="F17" i="34"/>
  <c r="C17" i="34"/>
  <c r="B17" i="34"/>
  <c r="X16" i="34"/>
  <c r="F16" i="34"/>
  <c r="C16" i="34"/>
  <c r="B16" i="34"/>
  <c r="X15" i="34"/>
  <c r="F15" i="34"/>
  <c r="C15" i="34"/>
  <c r="B15" i="34"/>
  <c r="X14" i="34"/>
  <c r="F14" i="34"/>
  <c r="C14" i="34"/>
  <c r="B14" i="34"/>
  <c r="X13" i="34"/>
  <c r="F13" i="34"/>
  <c r="C13" i="34"/>
  <c r="B13" i="34"/>
  <c r="X12" i="34"/>
  <c r="F12" i="34"/>
  <c r="C12" i="34"/>
  <c r="B12" i="34"/>
  <c r="X11" i="34"/>
  <c r="F11" i="34"/>
  <c r="C11" i="34"/>
  <c r="B11" i="34"/>
  <c r="X10" i="34"/>
  <c r="F10" i="34"/>
  <c r="C10" i="34"/>
  <c r="B10" i="34"/>
  <c r="X9" i="34"/>
  <c r="F9" i="34"/>
  <c r="C9" i="34"/>
  <c r="E9" i="34" s="1"/>
  <c r="B9" i="34"/>
  <c r="X8" i="34"/>
  <c r="F8" i="34"/>
  <c r="C8" i="34"/>
  <c r="B8" i="34"/>
  <c r="W103" i="61"/>
  <c r="W102" i="61"/>
  <c r="W101" i="61"/>
  <c r="W99" i="61"/>
  <c r="W98" i="61"/>
  <c r="W97" i="61"/>
  <c r="W95" i="61"/>
  <c r="W94" i="61"/>
  <c r="W93" i="61"/>
  <c r="W92" i="61"/>
  <c r="W91" i="61"/>
  <c r="W90" i="61"/>
  <c r="W89" i="61"/>
  <c r="W88" i="61"/>
  <c r="W86" i="61"/>
  <c r="W84" i="61"/>
  <c r="W83" i="61"/>
  <c r="W81" i="61"/>
  <c r="W80" i="61"/>
  <c r="W79" i="61"/>
  <c r="W77" i="61"/>
  <c r="W76" i="61"/>
  <c r="W75" i="61"/>
  <c r="W73" i="61"/>
  <c r="W71" i="61"/>
  <c r="W69" i="61"/>
  <c r="W68" i="61"/>
  <c r="W67" i="61"/>
  <c r="W66" i="61"/>
  <c r="W64" i="61"/>
  <c r="W62" i="61"/>
  <c r="W61" i="61"/>
  <c r="W60" i="61"/>
  <c r="W58" i="61"/>
  <c r="W57" i="61"/>
  <c r="W56" i="61"/>
  <c r="W54" i="61"/>
  <c r="W52" i="61"/>
  <c r="W51" i="61"/>
  <c r="W49" i="61"/>
  <c r="W47" i="61"/>
  <c r="W46" i="61"/>
  <c r="W45" i="61"/>
  <c r="W44" i="61"/>
  <c r="W43" i="61"/>
  <c r="W42" i="61"/>
  <c r="W40" i="61"/>
  <c r="W38" i="61"/>
  <c r="W36" i="61"/>
  <c r="W34" i="61"/>
  <c r="W32" i="61"/>
  <c r="W31" i="61"/>
  <c r="W30" i="61"/>
  <c r="W29" i="61"/>
  <c r="W27" i="61"/>
  <c r="W25" i="61"/>
  <c r="W23" i="61"/>
  <c r="W21" i="61"/>
  <c r="W19" i="61"/>
  <c r="W17" i="61"/>
  <c r="W16" i="61"/>
  <c r="W15" i="61"/>
  <c r="W14" i="61"/>
  <c r="W13" i="61"/>
  <c r="W12" i="61"/>
  <c r="W11" i="61"/>
  <c r="W10" i="61"/>
  <c r="W9" i="61"/>
  <c r="W8" i="61"/>
  <c r="W36" i="62"/>
  <c r="W35" i="62"/>
  <c r="W34" i="62"/>
  <c r="W33" i="62"/>
  <c r="W32" i="62"/>
  <c r="W31" i="62"/>
  <c r="W30" i="62"/>
  <c r="W29" i="62"/>
  <c r="W28" i="62"/>
  <c r="W27" i="62"/>
  <c r="W26" i="62"/>
  <c r="W25" i="62"/>
  <c r="W23" i="62"/>
  <c r="W22" i="62"/>
  <c r="W21" i="62"/>
  <c r="W19" i="62"/>
  <c r="W18" i="62"/>
  <c r="W17" i="62"/>
  <c r="W16" i="62"/>
  <c r="W14" i="62"/>
  <c r="W13" i="62"/>
  <c r="W12" i="62"/>
  <c r="W10" i="62"/>
  <c r="W9" i="62"/>
  <c r="W8" i="62"/>
  <c r="W76" i="56"/>
  <c r="W75" i="56"/>
  <c r="W74" i="56"/>
  <c r="W73" i="56"/>
  <c r="W71" i="56"/>
  <c r="W69" i="56"/>
  <c r="W67" i="56"/>
  <c r="W66" i="56"/>
  <c r="W65" i="56"/>
  <c r="W64" i="56"/>
  <c r="W63" i="56"/>
  <c r="W62" i="56"/>
  <c r="W61" i="56"/>
  <c r="W59" i="56"/>
  <c r="W57" i="56"/>
  <c r="W55" i="56"/>
  <c r="W53" i="56"/>
  <c r="W51" i="56"/>
  <c r="W49" i="56"/>
  <c r="W48" i="56"/>
  <c r="W46" i="56"/>
  <c r="W44" i="56"/>
  <c r="W43" i="56"/>
  <c r="W42" i="56"/>
  <c r="W41" i="56"/>
  <c r="W40" i="56"/>
  <c r="W39" i="56"/>
  <c r="W38" i="56"/>
  <c r="W37" i="56"/>
  <c r="W36" i="56"/>
  <c r="W35" i="56"/>
  <c r="W34" i="56"/>
  <c r="W32" i="56"/>
  <c r="W31" i="56"/>
  <c r="W30" i="56"/>
  <c r="W28" i="56"/>
  <c r="W27" i="56"/>
  <c r="W26" i="56"/>
  <c r="W25" i="56"/>
  <c r="W24" i="56"/>
  <c r="W23" i="56"/>
  <c r="W21" i="56"/>
  <c r="W19" i="56"/>
  <c r="W18" i="56"/>
  <c r="W16" i="56"/>
  <c r="W15" i="56"/>
  <c r="W13" i="56"/>
  <c r="W12" i="56"/>
  <c r="W11" i="56"/>
  <c r="W9" i="56"/>
  <c r="W8" i="56"/>
  <c r="I36" i="62"/>
  <c r="I35" i="62"/>
  <c r="I34" i="62"/>
  <c r="I33" i="62"/>
  <c r="I32" i="62"/>
  <c r="I31" i="62"/>
  <c r="I29" i="62"/>
  <c r="I28" i="62"/>
  <c r="I27" i="62"/>
  <c r="I26" i="62"/>
  <c r="I23" i="62"/>
  <c r="I22" i="62"/>
  <c r="I19" i="62"/>
  <c r="I18" i="62"/>
  <c r="I17" i="62"/>
  <c r="I14" i="62"/>
  <c r="I13" i="62"/>
  <c r="I10" i="62"/>
  <c r="I9" i="62"/>
  <c r="I103" i="61"/>
  <c r="I102" i="61"/>
  <c r="I101" i="61"/>
  <c r="I99" i="61"/>
  <c r="I98" i="61"/>
  <c r="I95" i="61"/>
  <c r="I94" i="61"/>
  <c r="I93" i="61"/>
  <c r="I92" i="61"/>
  <c r="I91" i="61"/>
  <c r="I90" i="61"/>
  <c r="I88" i="61"/>
  <c r="I86" i="61"/>
  <c r="I84" i="61"/>
  <c r="I83" i="61"/>
  <c r="I81" i="61"/>
  <c r="I80" i="61"/>
  <c r="I79" i="61"/>
  <c r="I77" i="61"/>
  <c r="I75" i="61"/>
  <c r="I73" i="61"/>
  <c r="I71" i="61"/>
  <c r="I69" i="61"/>
  <c r="I68" i="61"/>
  <c r="I66" i="61"/>
  <c r="I64" i="61"/>
  <c r="I62" i="61"/>
  <c r="I61" i="61"/>
  <c r="I60" i="61"/>
  <c r="I58" i="61"/>
  <c r="I57" i="61"/>
  <c r="I54" i="61"/>
  <c r="I52" i="61"/>
  <c r="I51" i="61"/>
  <c r="I49" i="61"/>
  <c r="I47" i="61"/>
  <c r="I46" i="61"/>
  <c r="I45" i="61"/>
  <c r="I43" i="61"/>
  <c r="I42" i="61"/>
  <c r="I40" i="61"/>
  <c r="I38" i="61"/>
  <c r="I36" i="61"/>
  <c r="I34" i="61"/>
  <c r="I32" i="61"/>
  <c r="I31" i="61"/>
  <c r="I29" i="61"/>
  <c r="I27" i="61"/>
  <c r="I25" i="61"/>
  <c r="I23" i="61"/>
  <c r="I21" i="61"/>
  <c r="I19" i="61"/>
  <c r="I17" i="61"/>
  <c r="I16" i="61"/>
  <c r="I14" i="61"/>
  <c r="I13" i="61"/>
  <c r="I12" i="61"/>
  <c r="I11" i="61"/>
  <c r="I10" i="61"/>
  <c r="I9" i="61"/>
  <c r="I76" i="56"/>
  <c r="I75" i="56"/>
  <c r="I74" i="56"/>
  <c r="I73" i="56"/>
  <c r="I71" i="56"/>
  <c r="I69" i="56"/>
  <c r="I67" i="56"/>
  <c r="I65" i="56"/>
  <c r="I64" i="56"/>
  <c r="I63" i="56"/>
  <c r="I62" i="56"/>
  <c r="I59" i="56"/>
  <c r="I57" i="56"/>
  <c r="I55" i="56"/>
  <c r="I53" i="56"/>
  <c r="I51" i="56"/>
  <c r="I49" i="56"/>
  <c r="I46" i="56"/>
  <c r="I44" i="56"/>
  <c r="I43" i="56"/>
  <c r="I42" i="56"/>
  <c r="I41" i="56"/>
  <c r="I40" i="56"/>
  <c r="I39" i="56"/>
  <c r="I37" i="56"/>
  <c r="I36" i="56"/>
  <c r="I35" i="56"/>
  <c r="I34" i="56"/>
  <c r="I32" i="56"/>
  <c r="I31" i="56"/>
  <c r="I28" i="56"/>
  <c r="I27" i="56"/>
  <c r="I26" i="56"/>
  <c r="I25" i="56"/>
  <c r="I24" i="56"/>
  <c r="I23" i="56"/>
  <c r="I21" i="56"/>
  <c r="I19" i="56"/>
  <c r="I16" i="56"/>
  <c r="I15" i="56"/>
  <c r="I13" i="56"/>
  <c r="I12" i="56"/>
  <c r="I11" i="56"/>
  <c r="I9" i="56"/>
  <c r="O8" i="60"/>
  <c r="O8" i="59"/>
  <c r="O66" i="52"/>
  <c r="O10" i="52"/>
  <c r="O8" i="52"/>
  <c r="F3" i="43"/>
  <c r="C3" i="43"/>
  <c r="L3" i="21"/>
  <c r="L4" i="21"/>
  <c r="L2" i="21"/>
  <c r="E1" i="30"/>
  <c r="D2" i="45"/>
  <c r="AM21" i="22"/>
  <c r="AM22" i="22"/>
  <c r="AM23" i="22"/>
  <c r="AM24" i="22"/>
  <c r="AM25" i="22"/>
  <c r="AM20" i="22"/>
  <c r="E41" i="61" l="1"/>
  <c r="E45" i="61"/>
  <c r="E38" i="61"/>
  <c r="E40" i="61"/>
  <c r="E48" i="61"/>
  <c r="E19" i="62"/>
  <c r="E39" i="61"/>
  <c r="E43" i="61"/>
  <c r="E47" i="61"/>
  <c r="E42" i="61"/>
  <c r="E46" i="61"/>
  <c r="E30" i="34"/>
  <c r="E46" i="34"/>
  <c r="E74" i="56"/>
  <c r="E9" i="61"/>
  <c r="E13" i="61"/>
  <c r="E17" i="61"/>
  <c r="E21" i="61"/>
  <c r="E25" i="61"/>
  <c r="E29" i="61"/>
  <c r="E33" i="61"/>
  <c r="E37" i="61"/>
  <c r="E52" i="61"/>
  <c r="E60" i="61"/>
  <c r="E64" i="61"/>
  <c r="E68" i="61"/>
  <c r="E15" i="62"/>
  <c r="E23" i="62"/>
  <c r="E27" i="62"/>
  <c r="E31" i="62"/>
  <c r="E35" i="62"/>
  <c r="AC20" i="21"/>
  <c r="E10" i="61"/>
  <c r="E18" i="61"/>
  <c r="E22" i="61"/>
  <c r="E26" i="61"/>
  <c r="E34" i="61"/>
  <c r="E73" i="56"/>
  <c r="E12" i="61"/>
  <c r="E16" i="61"/>
  <c r="E20" i="61"/>
  <c r="E24" i="61"/>
  <c r="E28" i="61"/>
  <c r="E32" i="61"/>
  <c r="E36" i="61"/>
  <c r="E72" i="56"/>
  <c r="E76" i="56"/>
  <c r="E11" i="61"/>
  <c r="E19" i="61"/>
  <c r="E23" i="61"/>
  <c r="E27" i="61"/>
  <c r="E31" i="61"/>
  <c r="E35" i="61"/>
  <c r="AC2" i="21"/>
  <c r="AC10" i="21"/>
  <c r="E75" i="56"/>
  <c r="E14" i="61"/>
  <c r="E10" i="52"/>
  <c r="E14" i="52"/>
  <c r="E22" i="52"/>
  <c r="E26" i="52"/>
  <c r="E34" i="52"/>
  <c r="E37" i="59"/>
  <c r="E41" i="59"/>
  <c r="E45" i="59"/>
  <c r="E57" i="59"/>
  <c r="E68" i="59"/>
  <c r="E72" i="59"/>
  <c r="E80" i="59"/>
  <c r="E84" i="59"/>
  <c r="E88" i="59"/>
  <c r="E92" i="59"/>
  <c r="E96" i="59"/>
  <c r="E34" i="56"/>
  <c r="E42" i="56"/>
  <c r="E46" i="56"/>
  <c r="E70" i="56"/>
  <c r="E72" i="61"/>
  <c r="E80" i="61"/>
  <c r="E84" i="61"/>
  <c r="E88" i="61"/>
  <c r="E92" i="61"/>
  <c r="E96" i="61"/>
  <c r="E100" i="61"/>
  <c r="E104" i="61"/>
  <c r="E11" i="62"/>
  <c r="E63" i="34"/>
  <c r="E64" i="34"/>
  <c r="E65" i="34"/>
  <c r="E66" i="34"/>
  <c r="E82" i="34"/>
  <c r="E99" i="34"/>
  <c r="E100" i="34"/>
  <c r="E102" i="34"/>
  <c r="E106" i="34"/>
  <c r="E111" i="34"/>
  <c r="E112" i="34"/>
  <c r="E113" i="34"/>
  <c r="E114" i="34"/>
  <c r="E178" i="34"/>
  <c r="E62" i="59"/>
  <c r="E66" i="59"/>
  <c r="E70" i="59"/>
  <c r="E74" i="59"/>
  <c r="E90" i="59"/>
  <c r="E94" i="59"/>
  <c r="E98" i="59"/>
  <c r="E102" i="59"/>
  <c r="E9" i="60"/>
  <c r="E29" i="60"/>
  <c r="E12" i="56"/>
  <c r="E16" i="56"/>
  <c r="E20" i="56"/>
  <c r="E24" i="56"/>
  <c r="E28" i="56"/>
  <c r="E52" i="56"/>
  <c r="E56" i="56"/>
  <c r="E60" i="56"/>
  <c r="E64" i="56"/>
  <c r="E10" i="60"/>
  <c r="E14" i="60"/>
  <c r="E22" i="60"/>
  <c r="E26" i="60"/>
  <c r="E34" i="60"/>
  <c r="E21" i="56"/>
  <c r="E25" i="56"/>
  <c r="E29" i="56"/>
  <c r="E33" i="56"/>
  <c r="E37" i="56"/>
  <c r="E65" i="56"/>
  <c r="E69" i="56"/>
  <c r="E116" i="34"/>
  <c r="E117" i="34"/>
  <c r="E118" i="34"/>
  <c r="E122" i="34"/>
  <c r="E128" i="34"/>
  <c r="E129" i="34"/>
  <c r="E130" i="34"/>
  <c r="E146" i="34"/>
  <c r="E163" i="34"/>
  <c r="E164" i="34"/>
  <c r="E165" i="34"/>
  <c r="E166" i="34"/>
  <c r="E167" i="34"/>
  <c r="E170" i="34"/>
  <c r="E175" i="34"/>
  <c r="E25" i="52"/>
  <c r="E29" i="52"/>
  <c r="E33" i="52"/>
  <c r="E37" i="52"/>
  <c r="E41" i="52"/>
  <c r="E45" i="52"/>
  <c r="E49" i="52"/>
  <c r="E53" i="52"/>
  <c r="E57" i="52"/>
  <c r="E65" i="52"/>
  <c r="E69" i="52"/>
  <c r="E73" i="52"/>
  <c r="E12" i="59"/>
  <c r="E179" i="34"/>
  <c r="E180" i="34"/>
  <c r="E182" i="34"/>
  <c r="E183" i="34"/>
  <c r="E184" i="34"/>
  <c r="E186" i="34"/>
  <c r="E17" i="60"/>
  <c r="E101" i="59"/>
  <c r="E20" i="60"/>
  <c r="E24" i="60"/>
  <c r="E32" i="60"/>
  <c r="E36" i="60"/>
  <c r="E11" i="56"/>
  <c r="E15" i="56"/>
  <c r="E10" i="34"/>
  <c r="E15" i="34"/>
  <c r="E16" i="34"/>
  <c r="E17" i="34"/>
  <c r="E18" i="34"/>
  <c r="E34" i="34"/>
  <c r="E50" i="34"/>
  <c r="E51" i="34"/>
  <c r="E78" i="34"/>
  <c r="E94" i="34"/>
  <c r="E98" i="34"/>
  <c r="E77" i="59"/>
  <c r="E81" i="59"/>
  <c r="E85" i="59"/>
  <c r="E93" i="59"/>
  <c r="E142" i="34"/>
  <c r="E158" i="34"/>
  <c r="E162" i="34"/>
  <c r="E16" i="59"/>
  <c r="E20" i="59"/>
  <c r="E24" i="59"/>
  <c r="E28" i="59"/>
  <c r="E32" i="59"/>
  <c r="E36" i="59"/>
  <c r="E40" i="59"/>
  <c r="E48" i="59"/>
  <c r="E52" i="59"/>
  <c r="E60" i="59"/>
  <c r="E63" i="59"/>
  <c r="E71" i="59"/>
  <c r="E75" i="59"/>
  <c r="E79" i="59"/>
  <c r="E83" i="59"/>
  <c r="E87" i="59"/>
  <c r="E99" i="59"/>
  <c r="E103" i="59"/>
  <c r="E11" i="60"/>
  <c r="E15" i="60"/>
  <c r="E19" i="60"/>
  <c r="E27" i="60"/>
  <c r="E31" i="60"/>
  <c r="E35" i="60"/>
  <c r="E39" i="56"/>
  <c r="E43" i="56"/>
  <c r="E47" i="56"/>
  <c r="E51" i="56"/>
  <c r="E55" i="56"/>
  <c r="E59" i="56"/>
  <c r="E20" i="34"/>
  <c r="E21" i="34"/>
  <c r="E22" i="34"/>
  <c r="E26" i="34"/>
  <c r="E32" i="34"/>
  <c r="E33" i="34"/>
  <c r="E68" i="34"/>
  <c r="E69" i="34"/>
  <c r="E70" i="34"/>
  <c r="E74" i="34"/>
  <c r="E80" i="34"/>
  <c r="E81" i="34"/>
  <c r="E131" i="34"/>
  <c r="E132" i="34"/>
  <c r="E133" i="34"/>
  <c r="E134" i="34"/>
  <c r="E143" i="34"/>
  <c r="E144" i="34"/>
  <c r="E145" i="34"/>
  <c r="E195" i="34"/>
  <c r="E196" i="34"/>
  <c r="E197" i="34"/>
  <c r="E198" i="34"/>
  <c r="E202" i="34"/>
  <c r="E203" i="34"/>
  <c r="E204" i="34"/>
  <c r="E24" i="52"/>
  <c r="E28" i="52"/>
  <c r="E32" i="52"/>
  <c r="E36" i="52"/>
  <c r="E40" i="52"/>
  <c r="E44" i="52"/>
  <c r="E52" i="52"/>
  <c r="E56" i="52"/>
  <c r="E60" i="52"/>
  <c r="E64" i="52"/>
  <c r="E68" i="52"/>
  <c r="E72" i="52"/>
  <c r="E76" i="52"/>
  <c r="E35" i="34"/>
  <c r="E36" i="34"/>
  <c r="E37" i="34"/>
  <c r="E38" i="34"/>
  <c r="E42" i="34"/>
  <c r="E47" i="34"/>
  <c r="E48" i="34"/>
  <c r="E83" i="34"/>
  <c r="E84" i="34"/>
  <c r="E85" i="34"/>
  <c r="E90" i="34"/>
  <c r="E95" i="34"/>
  <c r="E96" i="34"/>
  <c r="E97" i="34"/>
  <c r="E110" i="34"/>
  <c r="E148" i="34"/>
  <c r="E149" i="34"/>
  <c r="E150" i="34"/>
  <c r="E151" i="34"/>
  <c r="E152" i="34"/>
  <c r="E153" i="34"/>
  <c r="E154" i="34"/>
  <c r="E159" i="34"/>
  <c r="E161" i="34"/>
  <c r="E174" i="34"/>
  <c r="E23" i="52"/>
  <c r="E27" i="52"/>
  <c r="E31" i="52"/>
  <c r="E35" i="52"/>
  <c r="E39" i="52"/>
  <c r="E43" i="52"/>
  <c r="E47" i="52"/>
  <c r="E51" i="52"/>
  <c r="E55" i="52"/>
  <c r="E59" i="52"/>
  <c r="E63" i="52"/>
  <c r="E67" i="52"/>
  <c r="E71" i="52"/>
  <c r="E75" i="52"/>
  <c r="E10" i="59"/>
  <c r="E18" i="59"/>
  <c r="E22" i="59"/>
  <c r="E26" i="59"/>
  <c r="E61" i="59"/>
  <c r="E65" i="59"/>
  <c r="E10" i="56"/>
  <c r="E14" i="56"/>
  <c r="E19" i="56"/>
  <c r="E23" i="56"/>
  <c r="E27" i="56"/>
  <c r="E32" i="56"/>
  <c r="E36" i="56"/>
  <c r="E41" i="56"/>
  <c r="E45" i="56"/>
  <c r="E50" i="56"/>
  <c r="E54" i="56"/>
  <c r="E58" i="56"/>
  <c r="E63" i="56"/>
  <c r="E68" i="56"/>
  <c r="E14" i="34"/>
  <c r="E52" i="34"/>
  <c r="E53" i="34"/>
  <c r="E54" i="34"/>
  <c r="E58" i="34"/>
  <c r="E126" i="34"/>
  <c r="E42" i="52"/>
  <c r="E46" i="52"/>
  <c r="E50" i="52"/>
  <c r="E54" i="52"/>
  <c r="E58" i="52"/>
  <c r="E62" i="52"/>
  <c r="E70" i="52"/>
  <c r="E74" i="52"/>
  <c r="E9" i="59"/>
  <c r="E64" i="59"/>
  <c r="E69" i="59"/>
  <c r="E73" i="59"/>
  <c r="E78" i="59"/>
  <c r="E82" i="59"/>
  <c r="E86" i="59"/>
  <c r="E91" i="59"/>
  <c r="E95" i="59"/>
  <c r="E100" i="59"/>
  <c r="E104" i="59"/>
  <c r="E13" i="60"/>
  <c r="E18" i="60"/>
  <c r="E23" i="60"/>
  <c r="E28" i="60"/>
  <c r="E33" i="60"/>
  <c r="E9" i="56"/>
  <c r="E13" i="56"/>
  <c r="E17" i="56"/>
  <c r="E22" i="56"/>
  <c r="E26" i="56"/>
  <c r="E31" i="56"/>
  <c r="E35" i="56"/>
  <c r="E40" i="56"/>
  <c r="E44" i="56"/>
  <c r="E49" i="56"/>
  <c r="E53" i="56"/>
  <c r="E57" i="56"/>
  <c r="E62" i="56"/>
  <c r="E67" i="56"/>
  <c r="E71" i="56"/>
  <c r="E200" i="34"/>
  <c r="E201" i="34"/>
  <c r="E9" i="52"/>
  <c r="E13" i="52"/>
  <c r="E17" i="52"/>
  <c r="E21" i="52"/>
  <c r="E8" i="34"/>
  <c r="E23" i="34"/>
  <c r="E24" i="34"/>
  <c r="E25" i="34"/>
  <c r="E40" i="34"/>
  <c r="E41" i="34"/>
  <c r="E55" i="34"/>
  <c r="E56" i="34"/>
  <c r="E57" i="34"/>
  <c r="E71" i="34"/>
  <c r="E72" i="34"/>
  <c r="E73" i="34"/>
  <c r="E87" i="34"/>
  <c r="E88" i="34"/>
  <c r="E89" i="34"/>
  <c r="E103" i="34"/>
  <c r="E104" i="34"/>
  <c r="E105" i="34"/>
  <c r="E119" i="34"/>
  <c r="E120" i="34"/>
  <c r="E121" i="34"/>
  <c r="E135" i="34"/>
  <c r="E136" i="34"/>
  <c r="E137" i="34"/>
  <c r="E169" i="34"/>
  <c r="E205" i="34"/>
  <c r="E12" i="52"/>
  <c r="E16" i="52"/>
  <c r="E20" i="52"/>
  <c r="E11" i="34"/>
  <c r="E12" i="34"/>
  <c r="E13" i="34"/>
  <c r="E27" i="34"/>
  <c r="E28" i="34"/>
  <c r="E29" i="34"/>
  <c r="E43" i="34"/>
  <c r="E44" i="34"/>
  <c r="E45" i="34"/>
  <c r="E59" i="34"/>
  <c r="E60" i="34"/>
  <c r="E61" i="34"/>
  <c r="E75" i="34"/>
  <c r="E76" i="34"/>
  <c r="E77" i="34"/>
  <c r="E91" i="34"/>
  <c r="E92" i="34"/>
  <c r="E93" i="34"/>
  <c r="E107" i="34"/>
  <c r="E108" i="34"/>
  <c r="E109" i="34"/>
  <c r="E123" i="34"/>
  <c r="E124" i="34"/>
  <c r="E125" i="34"/>
  <c r="E139" i="34"/>
  <c r="E140" i="34"/>
  <c r="E141" i="34"/>
  <c r="E155" i="34"/>
  <c r="E156" i="34"/>
  <c r="E157" i="34"/>
  <c r="E171" i="34"/>
  <c r="E172" i="34"/>
  <c r="E173" i="34"/>
  <c r="E187" i="34"/>
  <c r="E188" i="34"/>
  <c r="E189" i="34"/>
  <c r="E11" i="52"/>
  <c r="E15" i="52"/>
  <c r="E19" i="52"/>
  <c r="E11" i="59"/>
  <c r="E19" i="59"/>
  <c r="E23" i="59"/>
  <c r="E27" i="59"/>
  <c r="E31" i="59"/>
  <c r="E35" i="59"/>
  <c r="E39" i="59"/>
  <c r="E43" i="59"/>
  <c r="E47" i="59"/>
  <c r="E51" i="59"/>
  <c r="E55" i="59"/>
  <c r="E59" i="59"/>
  <c r="E176" i="34"/>
  <c r="E191" i="34"/>
  <c r="E192" i="34"/>
  <c r="E193" i="34"/>
  <c r="E14" i="59"/>
  <c r="E34" i="59"/>
  <c r="E38" i="59"/>
  <c r="E42" i="59"/>
  <c r="E46" i="59"/>
  <c r="E50" i="59"/>
  <c r="E54" i="59"/>
  <c r="E58" i="59"/>
  <c r="E13" i="59"/>
  <c r="E17" i="59"/>
  <c r="E21" i="59"/>
  <c r="E25" i="59"/>
  <c r="E29" i="59"/>
  <c r="E33" i="59"/>
  <c r="E49" i="59"/>
  <c r="E53" i="59"/>
  <c r="E49" i="61"/>
  <c r="E53" i="61"/>
  <c r="E57" i="61"/>
  <c r="E61" i="61"/>
  <c r="E65" i="61"/>
  <c r="E69" i="61"/>
  <c r="E73" i="61"/>
  <c r="E77" i="61"/>
  <c r="E81" i="61"/>
  <c r="E85" i="61"/>
  <c r="E93" i="61"/>
  <c r="E51" i="61"/>
  <c r="E55" i="61"/>
  <c r="E59" i="61"/>
  <c r="E63" i="61"/>
  <c r="E71" i="61"/>
  <c r="E75" i="61"/>
  <c r="E79" i="61"/>
  <c r="E83" i="61"/>
  <c r="E87" i="61"/>
  <c r="E91" i="61"/>
  <c r="E95" i="61"/>
  <c r="E99" i="61"/>
  <c r="E103" i="61"/>
  <c r="E10" i="62"/>
  <c r="E14" i="62"/>
  <c r="E18" i="62"/>
  <c r="E22" i="62"/>
  <c r="E26" i="62"/>
  <c r="E34" i="62"/>
  <c r="E50" i="61"/>
  <c r="E54" i="61"/>
  <c r="E58" i="61"/>
  <c r="E62" i="61"/>
  <c r="E66" i="61"/>
  <c r="E70" i="61"/>
  <c r="E74" i="61"/>
  <c r="E78" i="61"/>
  <c r="E82" i="61"/>
  <c r="E86" i="61"/>
  <c r="E90" i="61"/>
  <c r="E94" i="61"/>
  <c r="E98" i="61"/>
  <c r="E102" i="61"/>
  <c r="E9" i="62"/>
  <c r="E13" i="62"/>
  <c r="E17" i="62"/>
  <c r="E29" i="62"/>
  <c r="E33" i="62"/>
  <c r="E101" i="61"/>
  <c r="E20" i="62"/>
  <c r="E24" i="62"/>
  <c r="E28" i="62"/>
  <c r="E32" i="62"/>
  <c r="E36" i="62"/>
  <c r="Y136" i="34"/>
  <c r="N65" i="59" s="1"/>
  <c r="Y134" i="34"/>
  <c r="N63" i="59" s="1"/>
  <c r="AL12" i="22" l="1"/>
  <c r="AL13" i="22"/>
  <c r="AL14" i="22"/>
  <c r="AL15" i="22"/>
  <c r="AL16" i="22"/>
  <c r="AL17" i="22"/>
  <c r="AL18" i="22"/>
  <c r="AL19" i="22"/>
  <c r="AK8" i="22"/>
  <c r="AK9" i="22"/>
  <c r="AK10" i="22"/>
  <c r="D1" i="22"/>
  <c r="F2" i="62"/>
  <c r="F2" i="61"/>
  <c r="F9" i="43"/>
  <c r="E9" i="43" s="1"/>
  <c r="F15" i="43"/>
  <c r="E15" i="43" s="1"/>
  <c r="I15" i="22" l="1"/>
  <c r="H15" i="22" s="1"/>
  <c r="I9" i="22"/>
  <c r="H9" i="22" s="1"/>
  <c r="F28" i="43" l="1"/>
  <c r="F27" i="43"/>
  <c r="F26" i="43"/>
  <c r="F25" i="43"/>
  <c r="F24" i="43"/>
  <c r="F23" i="43"/>
  <c r="F21" i="43"/>
  <c r="F20" i="43"/>
  <c r="F19" i="43"/>
  <c r="F18" i="43"/>
  <c r="F17" i="43"/>
  <c r="F16" i="43"/>
  <c r="F14" i="43"/>
  <c r="F13" i="43"/>
  <c r="F11" i="43"/>
  <c r="F10" i="43"/>
  <c r="F8" i="43"/>
  <c r="F7" i="43"/>
  <c r="F6" i="43"/>
  <c r="F5" i="43"/>
  <c r="Q200" i="53" l="1"/>
  <c r="N200" i="53"/>
  <c r="M200" i="53"/>
  <c r="L200" i="53"/>
  <c r="K200" i="53"/>
  <c r="J200" i="53"/>
  <c r="I200" i="53"/>
  <c r="Q199" i="53"/>
  <c r="N199" i="53"/>
  <c r="M199" i="53"/>
  <c r="L199" i="53"/>
  <c r="K199" i="53"/>
  <c r="J199" i="53"/>
  <c r="I199" i="53"/>
  <c r="Q198" i="53"/>
  <c r="N198" i="53"/>
  <c r="M198" i="53"/>
  <c r="L198" i="53"/>
  <c r="K198" i="53"/>
  <c r="J198" i="53"/>
  <c r="I198" i="53"/>
  <c r="Q197" i="53"/>
  <c r="N197" i="53"/>
  <c r="M197" i="53"/>
  <c r="L197" i="53"/>
  <c r="K197" i="53"/>
  <c r="J197" i="53"/>
  <c r="I197" i="53"/>
  <c r="Q196" i="53"/>
  <c r="N196" i="53"/>
  <c r="M196" i="53"/>
  <c r="L196" i="53"/>
  <c r="K196" i="53"/>
  <c r="J196" i="53"/>
  <c r="I196" i="53"/>
  <c r="Q195" i="53"/>
  <c r="N195" i="53"/>
  <c r="M195" i="53"/>
  <c r="L195" i="53"/>
  <c r="K195" i="53"/>
  <c r="J195" i="53"/>
  <c r="I195" i="53"/>
  <c r="Q194" i="53"/>
  <c r="N194" i="53"/>
  <c r="M194" i="53"/>
  <c r="L194" i="53"/>
  <c r="K194" i="53"/>
  <c r="J194" i="53"/>
  <c r="I194" i="53"/>
  <c r="Q193" i="53"/>
  <c r="N193" i="53"/>
  <c r="M193" i="53"/>
  <c r="L193" i="53"/>
  <c r="K193" i="53"/>
  <c r="J193" i="53"/>
  <c r="I193" i="53"/>
  <c r="Q192" i="53"/>
  <c r="N192" i="53"/>
  <c r="M192" i="53"/>
  <c r="L192" i="53"/>
  <c r="K192" i="53"/>
  <c r="J192" i="53"/>
  <c r="I192" i="53"/>
  <c r="Q191" i="53"/>
  <c r="N191" i="53"/>
  <c r="M191" i="53"/>
  <c r="L191" i="53"/>
  <c r="K191" i="53"/>
  <c r="J191" i="53"/>
  <c r="I191" i="53"/>
  <c r="Q190" i="53"/>
  <c r="N190" i="53"/>
  <c r="M190" i="53"/>
  <c r="L190" i="53"/>
  <c r="K190" i="53"/>
  <c r="J190" i="53"/>
  <c r="I190" i="53"/>
  <c r="Q189" i="53"/>
  <c r="N189" i="53"/>
  <c r="M189" i="53"/>
  <c r="L189" i="53"/>
  <c r="K189" i="53"/>
  <c r="J189" i="53"/>
  <c r="I189" i="53"/>
  <c r="Q188" i="53"/>
  <c r="N188" i="53"/>
  <c r="M188" i="53"/>
  <c r="L188" i="53"/>
  <c r="K188" i="53"/>
  <c r="J188" i="53"/>
  <c r="I188" i="53"/>
  <c r="Q187" i="53"/>
  <c r="N187" i="53"/>
  <c r="M187" i="53"/>
  <c r="L187" i="53"/>
  <c r="K187" i="53"/>
  <c r="J187" i="53"/>
  <c r="I187" i="53"/>
  <c r="Q186" i="53"/>
  <c r="N186" i="53"/>
  <c r="M186" i="53"/>
  <c r="L186" i="53"/>
  <c r="K186" i="53"/>
  <c r="J186" i="53"/>
  <c r="I186" i="53"/>
  <c r="Q185" i="53"/>
  <c r="N185" i="53"/>
  <c r="M185" i="53"/>
  <c r="L185" i="53"/>
  <c r="K185" i="53"/>
  <c r="J185" i="53"/>
  <c r="I185" i="53"/>
  <c r="Q184" i="53"/>
  <c r="N184" i="53"/>
  <c r="M184" i="53"/>
  <c r="L184" i="53"/>
  <c r="K184" i="53"/>
  <c r="J184" i="53"/>
  <c r="I184" i="53"/>
  <c r="Q183" i="53"/>
  <c r="N183" i="53"/>
  <c r="M183" i="53"/>
  <c r="L183" i="53"/>
  <c r="K183" i="53"/>
  <c r="J183" i="53"/>
  <c r="I183" i="53"/>
  <c r="Q182" i="53"/>
  <c r="N182" i="53"/>
  <c r="M182" i="53"/>
  <c r="L182" i="53"/>
  <c r="K182" i="53"/>
  <c r="J182" i="53"/>
  <c r="I182" i="53"/>
  <c r="Q181" i="53"/>
  <c r="N181" i="53"/>
  <c r="M181" i="53"/>
  <c r="L181" i="53"/>
  <c r="K181" i="53"/>
  <c r="J181" i="53"/>
  <c r="I181" i="53"/>
  <c r="Q180" i="53"/>
  <c r="N180" i="53"/>
  <c r="M180" i="53"/>
  <c r="L180" i="53"/>
  <c r="K180" i="53"/>
  <c r="J180" i="53"/>
  <c r="I180" i="53"/>
  <c r="Q179" i="53"/>
  <c r="N179" i="53"/>
  <c r="M179" i="53"/>
  <c r="L179" i="53"/>
  <c r="K179" i="53"/>
  <c r="J179" i="53"/>
  <c r="I179" i="53"/>
  <c r="Q178" i="53"/>
  <c r="N178" i="53"/>
  <c r="M178" i="53"/>
  <c r="L178" i="53"/>
  <c r="K178" i="53"/>
  <c r="J178" i="53"/>
  <c r="I178" i="53"/>
  <c r="Q177" i="53"/>
  <c r="N177" i="53"/>
  <c r="M177" i="53"/>
  <c r="L177" i="53"/>
  <c r="K177" i="53"/>
  <c r="J177" i="53"/>
  <c r="I177" i="53"/>
  <c r="Q176" i="53"/>
  <c r="N176" i="53"/>
  <c r="M176" i="53"/>
  <c r="L176" i="53"/>
  <c r="K176" i="53"/>
  <c r="J176" i="53"/>
  <c r="I176" i="53"/>
  <c r="Q175" i="53"/>
  <c r="N175" i="53"/>
  <c r="M175" i="53"/>
  <c r="L175" i="53"/>
  <c r="K175" i="53"/>
  <c r="J175" i="53"/>
  <c r="I175" i="53"/>
  <c r="Q174" i="53"/>
  <c r="N174" i="53"/>
  <c r="M174" i="53"/>
  <c r="L174" i="53"/>
  <c r="K174" i="53"/>
  <c r="J174" i="53"/>
  <c r="I174" i="53"/>
  <c r="Q173" i="53"/>
  <c r="N173" i="53"/>
  <c r="M173" i="53"/>
  <c r="L173" i="53"/>
  <c r="K173" i="53"/>
  <c r="J173" i="53"/>
  <c r="I173" i="53"/>
  <c r="Q172" i="53"/>
  <c r="N172" i="53"/>
  <c r="M172" i="53"/>
  <c r="L172" i="53"/>
  <c r="K172" i="53"/>
  <c r="J172" i="53"/>
  <c r="I172" i="53"/>
  <c r="Q171" i="53"/>
  <c r="N171" i="53"/>
  <c r="M171" i="53"/>
  <c r="L171" i="53"/>
  <c r="K171" i="53"/>
  <c r="J171" i="53"/>
  <c r="I171" i="53"/>
  <c r="Q170" i="53"/>
  <c r="N170" i="53"/>
  <c r="M170" i="53"/>
  <c r="L170" i="53"/>
  <c r="K170" i="53"/>
  <c r="J170" i="53"/>
  <c r="I170" i="53"/>
  <c r="Q169" i="53"/>
  <c r="N169" i="53"/>
  <c r="M169" i="53"/>
  <c r="L169" i="53"/>
  <c r="K169" i="53"/>
  <c r="J169" i="53"/>
  <c r="I169" i="53"/>
  <c r="Q168" i="53"/>
  <c r="N168" i="53"/>
  <c r="M168" i="53"/>
  <c r="L168" i="53"/>
  <c r="K168" i="53"/>
  <c r="J168" i="53"/>
  <c r="I168" i="53"/>
  <c r="Q167" i="53"/>
  <c r="N167" i="53"/>
  <c r="M167" i="53"/>
  <c r="L167" i="53"/>
  <c r="K167" i="53"/>
  <c r="J167" i="53"/>
  <c r="I167" i="53"/>
  <c r="Q166" i="53"/>
  <c r="N166" i="53"/>
  <c r="M166" i="53"/>
  <c r="L166" i="53"/>
  <c r="K166" i="53"/>
  <c r="J166" i="53"/>
  <c r="I166" i="53"/>
  <c r="Q165" i="53"/>
  <c r="N165" i="53"/>
  <c r="M165" i="53"/>
  <c r="L165" i="53"/>
  <c r="K165" i="53"/>
  <c r="J165" i="53"/>
  <c r="I165" i="53"/>
  <c r="Q164" i="53"/>
  <c r="N164" i="53"/>
  <c r="M164" i="53"/>
  <c r="L164" i="53"/>
  <c r="K164" i="53"/>
  <c r="J164" i="53"/>
  <c r="I164" i="53"/>
  <c r="Q163" i="53"/>
  <c r="N163" i="53"/>
  <c r="M163" i="53"/>
  <c r="L163" i="53"/>
  <c r="K163" i="53"/>
  <c r="J163" i="53"/>
  <c r="I163" i="53"/>
  <c r="Q162" i="53"/>
  <c r="N162" i="53"/>
  <c r="M162" i="53"/>
  <c r="L162" i="53"/>
  <c r="K162" i="53"/>
  <c r="J162" i="53"/>
  <c r="I162" i="53"/>
  <c r="Q161" i="53"/>
  <c r="N161" i="53"/>
  <c r="M161" i="53"/>
  <c r="L161" i="53"/>
  <c r="K161" i="53"/>
  <c r="J161" i="53"/>
  <c r="I161" i="53"/>
  <c r="Q160" i="53"/>
  <c r="N160" i="53"/>
  <c r="M160" i="53"/>
  <c r="L160" i="53"/>
  <c r="K160" i="53"/>
  <c r="J160" i="53"/>
  <c r="I160" i="53"/>
  <c r="Q159" i="53"/>
  <c r="N159" i="53"/>
  <c r="M159" i="53"/>
  <c r="L159" i="53"/>
  <c r="K159" i="53"/>
  <c r="J159" i="53"/>
  <c r="I159" i="53"/>
  <c r="Q158" i="53"/>
  <c r="N158" i="53"/>
  <c r="M158" i="53"/>
  <c r="L158" i="53"/>
  <c r="K158" i="53"/>
  <c r="J158" i="53"/>
  <c r="I158" i="53"/>
  <c r="Q157" i="53"/>
  <c r="N157" i="53"/>
  <c r="M157" i="53"/>
  <c r="L157" i="53"/>
  <c r="K157" i="53"/>
  <c r="J157" i="53"/>
  <c r="I157" i="53"/>
  <c r="Q156" i="53"/>
  <c r="N156" i="53"/>
  <c r="M156" i="53"/>
  <c r="L156" i="53"/>
  <c r="K156" i="53"/>
  <c r="J156" i="53"/>
  <c r="I156" i="53"/>
  <c r="Q155" i="53"/>
  <c r="N155" i="53"/>
  <c r="M155" i="53"/>
  <c r="L155" i="53"/>
  <c r="K155" i="53"/>
  <c r="J155" i="53"/>
  <c r="I155" i="53"/>
  <c r="Q154" i="53"/>
  <c r="N154" i="53"/>
  <c r="M154" i="53"/>
  <c r="L154" i="53"/>
  <c r="K154" i="53"/>
  <c r="J154" i="53"/>
  <c r="I154" i="53"/>
  <c r="Q153" i="53"/>
  <c r="N153" i="53"/>
  <c r="M153" i="53"/>
  <c r="L153" i="53"/>
  <c r="K153" i="53"/>
  <c r="J153" i="53"/>
  <c r="I153" i="53"/>
  <c r="Q152" i="53"/>
  <c r="N152" i="53"/>
  <c r="M152" i="53"/>
  <c r="L152" i="53"/>
  <c r="K152" i="53"/>
  <c r="J152" i="53"/>
  <c r="I152" i="53"/>
  <c r="Q151" i="53"/>
  <c r="N151" i="53"/>
  <c r="M151" i="53"/>
  <c r="L151" i="53"/>
  <c r="K151" i="53"/>
  <c r="J151" i="53"/>
  <c r="I151" i="53"/>
  <c r="Q150" i="53"/>
  <c r="N150" i="53"/>
  <c r="M150" i="53"/>
  <c r="L150" i="53"/>
  <c r="K150" i="53"/>
  <c r="J150" i="53"/>
  <c r="I150" i="53"/>
  <c r="Q149" i="53"/>
  <c r="N149" i="53"/>
  <c r="M149" i="53"/>
  <c r="L149" i="53"/>
  <c r="K149" i="53"/>
  <c r="J149" i="53"/>
  <c r="I149" i="53"/>
  <c r="Q148" i="53"/>
  <c r="N148" i="53"/>
  <c r="M148" i="53"/>
  <c r="L148" i="53"/>
  <c r="K148" i="53"/>
  <c r="J148" i="53"/>
  <c r="I148" i="53"/>
  <c r="Q147" i="53"/>
  <c r="N147" i="53"/>
  <c r="M147" i="53"/>
  <c r="L147" i="53"/>
  <c r="K147" i="53"/>
  <c r="J147" i="53"/>
  <c r="I147" i="53"/>
  <c r="Q146" i="53"/>
  <c r="N146" i="53"/>
  <c r="M146" i="53"/>
  <c r="L146" i="53"/>
  <c r="K146" i="53"/>
  <c r="J146" i="53"/>
  <c r="I146" i="53"/>
  <c r="Q145" i="53"/>
  <c r="N145" i="53"/>
  <c r="M145" i="53"/>
  <c r="L145" i="53"/>
  <c r="K145" i="53"/>
  <c r="J145" i="53"/>
  <c r="I145" i="53"/>
  <c r="Q144" i="53"/>
  <c r="N144" i="53"/>
  <c r="M144" i="53"/>
  <c r="L144" i="53"/>
  <c r="K144" i="53"/>
  <c r="J144" i="53"/>
  <c r="I144" i="53"/>
  <c r="Q143" i="53"/>
  <c r="N143" i="53"/>
  <c r="M143" i="53"/>
  <c r="L143" i="53"/>
  <c r="K143" i="53"/>
  <c r="J143" i="53"/>
  <c r="I143" i="53"/>
  <c r="Q142" i="53"/>
  <c r="N142" i="53"/>
  <c r="M142" i="53"/>
  <c r="L142" i="53"/>
  <c r="K142" i="53"/>
  <c r="J142" i="53"/>
  <c r="I142" i="53"/>
  <c r="Q141" i="53"/>
  <c r="N141" i="53"/>
  <c r="M141" i="53"/>
  <c r="L141" i="53"/>
  <c r="K141" i="53"/>
  <c r="J141" i="53"/>
  <c r="I141" i="53"/>
  <c r="Q140" i="53"/>
  <c r="N140" i="53"/>
  <c r="M140" i="53"/>
  <c r="L140" i="53"/>
  <c r="K140" i="53"/>
  <c r="J140" i="53"/>
  <c r="I140" i="53"/>
  <c r="Q139" i="53"/>
  <c r="N139" i="53"/>
  <c r="M139" i="53"/>
  <c r="L139" i="53"/>
  <c r="K139" i="53"/>
  <c r="J139" i="53"/>
  <c r="I139" i="53"/>
  <c r="Q138" i="53"/>
  <c r="N138" i="53"/>
  <c r="M138" i="53"/>
  <c r="L138" i="53"/>
  <c r="K138" i="53"/>
  <c r="J138" i="53"/>
  <c r="I138" i="53"/>
  <c r="Q137" i="53"/>
  <c r="N137" i="53"/>
  <c r="M137" i="53"/>
  <c r="L137" i="53"/>
  <c r="K137" i="53"/>
  <c r="J137" i="53"/>
  <c r="I137" i="53"/>
  <c r="Q136" i="53"/>
  <c r="N136" i="53"/>
  <c r="M136" i="53"/>
  <c r="L136" i="53"/>
  <c r="K136" i="53"/>
  <c r="J136" i="53"/>
  <c r="I136" i="53"/>
  <c r="Q135" i="53"/>
  <c r="N135" i="53"/>
  <c r="M135" i="53"/>
  <c r="L135" i="53"/>
  <c r="K135" i="53"/>
  <c r="J135" i="53"/>
  <c r="I135" i="53"/>
  <c r="Q134" i="53"/>
  <c r="N134" i="53"/>
  <c r="M134" i="53"/>
  <c r="L134" i="53"/>
  <c r="K134" i="53"/>
  <c r="J134" i="53"/>
  <c r="I134" i="53"/>
  <c r="Q133" i="53"/>
  <c r="N133" i="53"/>
  <c r="M133" i="53"/>
  <c r="L133" i="53"/>
  <c r="K133" i="53"/>
  <c r="J133" i="53"/>
  <c r="I133" i="53"/>
  <c r="Q132" i="53"/>
  <c r="N132" i="53"/>
  <c r="M132" i="53"/>
  <c r="L132" i="53"/>
  <c r="K132" i="53"/>
  <c r="J132" i="53"/>
  <c r="I132" i="53"/>
  <c r="Q131" i="53"/>
  <c r="N131" i="53"/>
  <c r="M131" i="53"/>
  <c r="L131" i="53"/>
  <c r="K131" i="53"/>
  <c r="J131" i="53"/>
  <c r="I131" i="53"/>
  <c r="Q130" i="53"/>
  <c r="N130" i="53"/>
  <c r="M130" i="53"/>
  <c r="L130" i="53"/>
  <c r="K130" i="53"/>
  <c r="J130" i="53"/>
  <c r="I130" i="53"/>
  <c r="Q129" i="53"/>
  <c r="N129" i="53"/>
  <c r="M129" i="53"/>
  <c r="L129" i="53"/>
  <c r="K129" i="53"/>
  <c r="J129" i="53"/>
  <c r="I129" i="53"/>
  <c r="Q128" i="53"/>
  <c r="N128" i="53"/>
  <c r="M128" i="53"/>
  <c r="L128" i="53"/>
  <c r="K128" i="53"/>
  <c r="J128" i="53"/>
  <c r="I128" i="53"/>
  <c r="Q127" i="53"/>
  <c r="N127" i="53"/>
  <c r="M127" i="53"/>
  <c r="L127" i="53"/>
  <c r="K127" i="53"/>
  <c r="J127" i="53"/>
  <c r="I127" i="53"/>
  <c r="Q126" i="53"/>
  <c r="N126" i="53"/>
  <c r="M126" i="53"/>
  <c r="L126" i="53"/>
  <c r="K126" i="53"/>
  <c r="J126" i="53"/>
  <c r="I126" i="53"/>
  <c r="Q125" i="53"/>
  <c r="N125" i="53"/>
  <c r="M125" i="53"/>
  <c r="L125" i="53"/>
  <c r="K125" i="53"/>
  <c r="J125" i="53"/>
  <c r="I125" i="53"/>
  <c r="Q124" i="53"/>
  <c r="N124" i="53"/>
  <c r="M124" i="53"/>
  <c r="L124" i="53"/>
  <c r="K124" i="53"/>
  <c r="J124" i="53"/>
  <c r="I124" i="53"/>
  <c r="Q123" i="53"/>
  <c r="N123" i="53"/>
  <c r="M123" i="53"/>
  <c r="L123" i="53"/>
  <c r="K123" i="53"/>
  <c r="J123" i="53"/>
  <c r="I123" i="53"/>
  <c r="Q122" i="53"/>
  <c r="N122" i="53"/>
  <c r="M122" i="53"/>
  <c r="L122" i="53"/>
  <c r="K122" i="53"/>
  <c r="J122" i="53"/>
  <c r="I122" i="53"/>
  <c r="Q121" i="53"/>
  <c r="N121" i="53"/>
  <c r="M121" i="53"/>
  <c r="L121" i="53"/>
  <c r="K121" i="53"/>
  <c r="J121" i="53"/>
  <c r="I121" i="53"/>
  <c r="Q120" i="53"/>
  <c r="N120" i="53"/>
  <c r="M120" i="53"/>
  <c r="L120" i="53"/>
  <c r="K120" i="53"/>
  <c r="J120" i="53"/>
  <c r="I120" i="53"/>
  <c r="Q119" i="53"/>
  <c r="N119" i="53"/>
  <c r="M119" i="53"/>
  <c r="L119" i="53"/>
  <c r="K119" i="53"/>
  <c r="J119" i="53"/>
  <c r="I119" i="53"/>
  <c r="Q118" i="53"/>
  <c r="N118" i="53"/>
  <c r="M118" i="53"/>
  <c r="L118" i="53"/>
  <c r="K118" i="53"/>
  <c r="J118" i="53"/>
  <c r="I118" i="53"/>
  <c r="Q117" i="53"/>
  <c r="N117" i="53"/>
  <c r="M117" i="53"/>
  <c r="L117" i="53"/>
  <c r="K117" i="53"/>
  <c r="J117" i="53"/>
  <c r="I117" i="53"/>
  <c r="Q116" i="53"/>
  <c r="N116" i="53"/>
  <c r="M116" i="53"/>
  <c r="L116" i="53"/>
  <c r="K116" i="53"/>
  <c r="J116" i="53"/>
  <c r="I116" i="53"/>
  <c r="Q115" i="53"/>
  <c r="N115" i="53"/>
  <c r="M115" i="53"/>
  <c r="L115" i="53"/>
  <c r="K115" i="53"/>
  <c r="J115" i="53"/>
  <c r="I115" i="53"/>
  <c r="Q114" i="53"/>
  <c r="N114" i="53"/>
  <c r="M114" i="53"/>
  <c r="L114" i="53"/>
  <c r="K114" i="53"/>
  <c r="J114" i="53"/>
  <c r="I114" i="53"/>
  <c r="Q113" i="53"/>
  <c r="N113" i="53"/>
  <c r="M113" i="53"/>
  <c r="L113" i="53"/>
  <c r="K113" i="53"/>
  <c r="J113" i="53"/>
  <c r="I113" i="53"/>
  <c r="Q112" i="53"/>
  <c r="N112" i="53"/>
  <c r="M112" i="53"/>
  <c r="L112" i="53"/>
  <c r="K112" i="53"/>
  <c r="J112" i="53"/>
  <c r="I112" i="53"/>
  <c r="Q111" i="53"/>
  <c r="N111" i="53"/>
  <c r="M111" i="53"/>
  <c r="L111" i="53"/>
  <c r="K111" i="53"/>
  <c r="J111" i="53"/>
  <c r="I111" i="53"/>
  <c r="Q110" i="53"/>
  <c r="N110" i="53"/>
  <c r="M110" i="53"/>
  <c r="L110" i="53"/>
  <c r="K110" i="53"/>
  <c r="J110" i="53"/>
  <c r="I110" i="53"/>
  <c r="Q109" i="53"/>
  <c r="N109" i="53"/>
  <c r="M109" i="53"/>
  <c r="L109" i="53"/>
  <c r="K109" i="53"/>
  <c r="J109" i="53"/>
  <c r="I109" i="53"/>
  <c r="Q108" i="53"/>
  <c r="N108" i="53"/>
  <c r="M108" i="53"/>
  <c r="L108" i="53"/>
  <c r="K108" i="53"/>
  <c r="J108" i="53"/>
  <c r="I108" i="53"/>
  <c r="Q107" i="53"/>
  <c r="N107" i="53"/>
  <c r="M107" i="53"/>
  <c r="L107" i="53"/>
  <c r="K107" i="53"/>
  <c r="J107" i="53"/>
  <c r="I107" i="53"/>
  <c r="Q106" i="53"/>
  <c r="N106" i="53"/>
  <c r="M106" i="53"/>
  <c r="L106" i="53"/>
  <c r="K106" i="53"/>
  <c r="J106" i="53"/>
  <c r="I106" i="53"/>
  <c r="Q105" i="53"/>
  <c r="N105" i="53"/>
  <c r="M105" i="53"/>
  <c r="L105" i="53"/>
  <c r="K105" i="53"/>
  <c r="J105" i="53"/>
  <c r="I105" i="53"/>
  <c r="Q104" i="53"/>
  <c r="N104" i="53"/>
  <c r="M104" i="53"/>
  <c r="L104" i="53"/>
  <c r="K104" i="53"/>
  <c r="J104" i="53"/>
  <c r="I104" i="53"/>
  <c r="Q103" i="53"/>
  <c r="N103" i="53"/>
  <c r="M103" i="53"/>
  <c r="L103" i="53"/>
  <c r="K103" i="53"/>
  <c r="J103" i="53"/>
  <c r="I103" i="53"/>
  <c r="Q102" i="53"/>
  <c r="N102" i="53"/>
  <c r="M102" i="53"/>
  <c r="L102" i="53"/>
  <c r="K102" i="53"/>
  <c r="J102" i="53"/>
  <c r="I102" i="53"/>
  <c r="Q101" i="53"/>
  <c r="N101" i="53"/>
  <c r="M101" i="53"/>
  <c r="L101" i="53"/>
  <c r="K101" i="53"/>
  <c r="J101" i="53"/>
  <c r="I101" i="53"/>
  <c r="Q100" i="53"/>
  <c r="N100" i="53"/>
  <c r="M100" i="53"/>
  <c r="L100" i="53"/>
  <c r="K100" i="53"/>
  <c r="J100" i="53"/>
  <c r="I100" i="53"/>
  <c r="Q99" i="53"/>
  <c r="N99" i="53"/>
  <c r="M99" i="53"/>
  <c r="L99" i="53"/>
  <c r="K99" i="53"/>
  <c r="J99" i="53"/>
  <c r="I99" i="53"/>
  <c r="Q98" i="53"/>
  <c r="N98" i="53"/>
  <c r="M98" i="53"/>
  <c r="L98" i="53"/>
  <c r="K98" i="53"/>
  <c r="J98" i="53"/>
  <c r="I98" i="53"/>
  <c r="Q97" i="53"/>
  <c r="N97" i="53"/>
  <c r="M97" i="53"/>
  <c r="L97" i="53"/>
  <c r="K97" i="53"/>
  <c r="J97" i="53"/>
  <c r="I97" i="53"/>
  <c r="Q96" i="53"/>
  <c r="N96" i="53"/>
  <c r="M96" i="53"/>
  <c r="L96" i="53"/>
  <c r="K96" i="53"/>
  <c r="J96" i="53"/>
  <c r="I96" i="53"/>
  <c r="Q95" i="53"/>
  <c r="N95" i="53"/>
  <c r="M95" i="53"/>
  <c r="L95" i="53"/>
  <c r="K95" i="53"/>
  <c r="J95" i="53"/>
  <c r="I95" i="53"/>
  <c r="Q94" i="53"/>
  <c r="N94" i="53"/>
  <c r="M94" i="53"/>
  <c r="L94" i="53"/>
  <c r="K94" i="53"/>
  <c r="J94" i="53"/>
  <c r="I94" i="53"/>
  <c r="Q93" i="53"/>
  <c r="N93" i="53"/>
  <c r="M93" i="53"/>
  <c r="L93" i="53"/>
  <c r="K93" i="53"/>
  <c r="J93" i="53"/>
  <c r="I93" i="53"/>
  <c r="Q92" i="53"/>
  <c r="N92" i="53"/>
  <c r="M92" i="53"/>
  <c r="L92" i="53"/>
  <c r="K92" i="53"/>
  <c r="J92" i="53"/>
  <c r="I92" i="53"/>
  <c r="Q91" i="53"/>
  <c r="N91" i="53"/>
  <c r="M91" i="53"/>
  <c r="L91" i="53"/>
  <c r="K91" i="53"/>
  <c r="J91" i="53"/>
  <c r="I91" i="53"/>
  <c r="Q90" i="53"/>
  <c r="N90" i="53"/>
  <c r="M90" i="53"/>
  <c r="L90" i="53"/>
  <c r="K90" i="53"/>
  <c r="J90" i="53"/>
  <c r="I90" i="53"/>
  <c r="Q89" i="53"/>
  <c r="N89" i="53"/>
  <c r="M89" i="53"/>
  <c r="L89" i="53"/>
  <c r="K89" i="53"/>
  <c r="J89" i="53"/>
  <c r="I89" i="53"/>
  <c r="Q88" i="53"/>
  <c r="N88" i="53"/>
  <c r="M88" i="53"/>
  <c r="L88" i="53"/>
  <c r="K88" i="53"/>
  <c r="J88" i="53"/>
  <c r="I88" i="53"/>
  <c r="Q87" i="53"/>
  <c r="N87" i="53"/>
  <c r="M87" i="53"/>
  <c r="L87" i="53"/>
  <c r="K87" i="53"/>
  <c r="J87" i="53"/>
  <c r="I87" i="53"/>
  <c r="Q86" i="53"/>
  <c r="N86" i="53"/>
  <c r="M86" i="53"/>
  <c r="L86" i="53"/>
  <c r="K86" i="53"/>
  <c r="J86" i="53"/>
  <c r="I86" i="53"/>
  <c r="Q85" i="53"/>
  <c r="N85" i="53"/>
  <c r="M85" i="53"/>
  <c r="L85" i="53"/>
  <c r="K85" i="53"/>
  <c r="J85" i="53"/>
  <c r="I85" i="53"/>
  <c r="Q84" i="53"/>
  <c r="N84" i="53"/>
  <c r="M84" i="53"/>
  <c r="L84" i="53"/>
  <c r="K84" i="53"/>
  <c r="J84" i="53"/>
  <c r="I84" i="53"/>
  <c r="Q83" i="53"/>
  <c r="N83" i="53"/>
  <c r="M83" i="53"/>
  <c r="L83" i="53"/>
  <c r="K83" i="53"/>
  <c r="J83" i="53"/>
  <c r="I83" i="53"/>
  <c r="Q82" i="53"/>
  <c r="N82" i="53"/>
  <c r="M82" i="53"/>
  <c r="L82" i="53"/>
  <c r="K82" i="53"/>
  <c r="J82" i="53"/>
  <c r="I82" i="53"/>
  <c r="Q81" i="53"/>
  <c r="N81" i="53"/>
  <c r="M81" i="53"/>
  <c r="L81" i="53"/>
  <c r="K81" i="53"/>
  <c r="J81" i="53"/>
  <c r="I81" i="53"/>
  <c r="Q80" i="53"/>
  <c r="N80" i="53"/>
  <c r="M80" i="53"/>
  <c r="L80" i="53"/>
  <c r="K80" i="53"/>
  <c r="J80" i="53"/>
  <c r="I80" i="53"/>
  <c r="Q79" i="53"/>
  <c r="N79" i="53"/>
  <c r="M79" i="53"/>
  <c r="L79" i="53"/>
  <c r="K79" i="53"/>
  <c r="J79" i="53"/>
  <c r="I79" i="53"/>
  <c r="Q78" i="53"/>
  <c r="N78" i="53"/>
  <c r="M78" i="53"/>
  <c r="L78" i="53"/>
  <c r="K78" i="53"/>
  <c r="J78" i="53"/>
  <c r="I78" i="53"/>
  <c r="Q77" i="53"/>
  <c r="N77" i="53"/>
  <c r="M77" i="53"/>
  <c r="L77" i="53"/>
  <c r="K77" i="53"/>
  <c r="J77" i="53"/>
  <c r="I77" i="53"/>
  <c r="Q76" i="53"/>
  <c r="N76" i="53"/>
  <c r="M76" i="53"/>
  <c r="L76" i="53"/>
  <c r="K76" i="53"/>
  <c r="J76" i="53"/>
  <c r="I76" i="53"/>
  <c r="Q75" i="53"/>
  <c r="N75" i="53"/>
  <c r="M75" i="53"/>
  <c r="L75" i="53"/>
  <c r="K75" i="53"/>
  <c r="J75" i="53"/>
  <c r="I75" i="53"/>
  <c r="Q74" i="53"/>
  <c r="N74" i="53"/>
  <c r="M74" i="53"/>
  <c r="L74" i="53"/>
  <c r="K74" i="53"/>
  <c r="J74" i="53"/>
  <c r="I74" i="53"/>
  <c r="Q73" i="53"/>
  <c r="N73" i="53"/>
  <c r="M73" i="53"/>
  <c r="L73" i="53"/>
  <c r="K73" i="53"/>
  <c r="J73" i="53"/>
  <c r="I73" i="53"/>
  <c r="Q72" i="53"/>
  <c r="N72" i="53"/>
  <c r="M72" i="53"/>
  <c r="L72" i="53"/>
  <c r="K72" i="53"/>
  <c r="J72" i="53"/>
  <c r="I72" i="53"/>
  <c r="Q71" i="53"/>
  <c r="N71" i="53"/>
  <c r="M71" i="53"/>
  <c r="L71" i="53"/>
  <c r="K71" i="53"/>
  <c r="J71" i="53"/>
  <c r="I71" i="53"/>
  <c r="Q70" i="53"/>
  <c r="N70" i="53"/>
  <c r="M70" i="53"/>
  <c r="L70" i="53"/>
  <c r="K70" i="53"/>
  <c r="J70" i="53"/>
  <c r="I70" i="53"/>
  <c r="Q69" i="53"/>
  <c r="N69" i="53"/>
  <c r="M69" i="53"/>
  <c r="L69" i="53"/>
  <c r="K69" i="53"/>
  <c r="J69" i="53"/>
  <c r="I69" i="53"/>
  <c r="Q68" i="53"/>
  <c r="N68" i="53"/>
  <c r="M68" i="53"/>
  <c r="L68" i="53"/>
  <c r="K68" i="53"/>
  <c r="J68" i="53"/>
  <c r="I68" i="53"/>
  <c r="Q67" i="53"/>
  <c r="N67" i="53"/>
  <c r="M67" i="53"/>
  <c r="L67" i="53"/>
  <c r="K67" i="53"/>
  <c r="J67" i="53"/>
  <c r="I67" i="53"/>
  <c r="Q66" i="53"/>
  <c r="N66" i="53"/>
  <c r="M66" i="53"/>
  <c r="L66" i="53"/>
  <c r="K66" i="53"/>
  <c r="J66" i="53"/>
  <c r="I66" i="53"/>
  <c r="Q65" i="53"/>
  <c r="N65" i="53"/>
  <c r="M65" i="53"/>
  <c r="L65" i="53"/>
  <c r="K65" i="53"/>
  <c r="J65" i="53"/>
  <c r="I65" i="53"/>
  <c r="Q64" i="53"/>
  <c r="N64" i="53"/>
  <c r="M64" i="53"/>
  <c r="L64" i="53"/>
  <c r="K64" i="53"/>
  <c r="J64" i="53"/>
  <c r="I64" i="53"/>
  <c r="Q63" i="53"/>
  <c r="N63" i="53"/>
  <c r="M63" i="53"/>
  <c r="L63" i="53"/>
  <c r="K63" i="53"/>
  <c r="J63" i="53"/>
  <c r="I63" i="53"/>
  <c r="Q62" i="53"/>
  <c r="N62" i="53"/>
  <c r="M62" i="53"/>
  <c r="L62" i="53"/>
  <c r="K62" i="53"/>
  <c r="J62" i="53"/>
  <c r="I62" i="53"/>
  <c r="Q61" i="53"/>
  <c r="N61" i="53"/>
  <c r="M61" i="53"/>
  <c r="L61" i="53"/>
  <c r="K61" i="53"/>
  <c r="J61" i="53"/>
  <c r="I61" i="53"/>
  <c r="Q60" i="53"/>
  <c r="N60" i="53"/>
  <c r="M60" i="53"/>
  <c r="L60" i="53"/>
  <c r="K60" i="53"/>
  <c r="J60" i="53"/>
  <c r="I60" i="53"/>
  <c r="Q59" i="53"/>
  <c r="N59" i="53"/>
  <c r="M59" i="53"/>
  <c r="L59" i="53"/>
  <c r="K59" i="53"/>
  <c r="J59" i="53"/>
  <c r="I59" i="53"/>
  <c r="Q58" i="53"/>
  <c r="N58" i="53"/>
  <c r="M58" i="53"/>
  <c r="L58" i="53"/>
  <c r="K58" i="53"/>
  <c r="J58" i="53"/>
  <c r="I58" i="53"/>
  <c r="Q57" i="53"/>
  <c r="N57" i="53"/>
  <c r="M57" i="53"/>
  <c r="L57" i="53"/>
  <c r="K57" i="53"/>
  <c r="J57" i="53"/>
  <c r="I57" i="53"/>
  <c r="Q56" i="53"/>
  <c r="N56" i="53"/>
  <c r="M56" i="53"/>
  <c r="L56" i="53"/>
  <c r="K56" i="53"/>
  <c r="J56" i="53"/>
  <c r="I56" i="53"/>
  <c r="Q55" i="53"/>
  <c r="N55" i="53"/>
  <c r="M55" i="53"/>
  <c r="L55" i="53"/>
  <c r="K55" i="53"/>
  <c r="J55" i="53"/>
  <c r="I55" i="53"/>
  <c r="Q54" i="53"/>
  <c r="N54" i="53"/>
  <c r="M54" i="53"/>
  <c r="L54" i="53"/>
  <c r="K54" i="53"/>
  <c r="J54" i="53"/>
  <c r="I54" i="53"/>
  <c r="Q53" i="53"/>
  <c r="N53" i="53"/>
  <c r="M53" i="53"/>
  <c r="L53" i="53"/>
  <c r="K53" i="53"/>
  <c r="J53" i="53"/>
  <c r="I53" i="53"/>
  <c r="Q52" i="53"/>
  <c r="N52" i="53"/>
  <c r="M52" i="53"/>
  <c r="L52" i="53"/>
  <c r="K52" i="53"/>
  <c r="J52" i="53"/>
  <c r="I52" i="53"/>
  <c r="Q51" i="53"/>
  <c r="N51" i="53"/>
  <c r="M51" i="53"/>
  <c r="L51" i="53"/>
  <c r="K51" i="53"/>
  <c r="J51" i="53"/>
  <c r="I51" i="53"/>
  <c r="Q50" i="53"/>
  <c r="N50" i="53"/>
  <c r="M50" i="53"/>
  <c r="L50" i="53"/>
  <c r="K50" i="53"/>
  <c r="J50" i="53"/>
  <c r="I50" i="53"/>
  <c r="Q49" i="53"/>
  <c r="N49" i="53"/>
  <c r="M49" i="53"/>
  <c r="L49" i="53"/>
  <c r="K49" i="53"/>
  <c r="J49" i="53"/>
  <c r="I49" i="53"/>
  <c r="Q48" i="53"/>
  <c r="N48" i="53"/>
  <c r="M48" i="53"/>
  <c r="L48" i="53"/>
  <c r="K48" i="53"/>
  <c r="J48" i="53"/>
  <c r="I48" i="53"/>
  <c r="Q47" i="53"/>
  <c r="N47" i="53"/>
  <c r="M47" i="53"/>
  <c r="L47" i="53"/>
  <c r="K47" i="53"/>
  <c r="J47" i="53"/>
  <c r="I47" i="53"/>
  <c r="Q46" i="53"/>
  <c r="N46" i="53"/>
  <c r="M46" i="53"/>
  <c r="L46" i="53"/>
  <c r="K46" i="53"/>
  <c r="J46" i="53"/>
  <c r="I46" i="53"/>
  <c r="Q45" i="53"/>
  <c r="N45" i="53"/>
  <c r="M45" i="53"/>
  <c r="L45" i="53"/>
  <c r="K45" i="53"/>
  <c r="J45" i="53"/>
  <c r="I45" i="53"/>
  <c r="Q44" i="53"/>
  <c r="N44" i="53"/>
  <c r="M44" i="53"/>
  <c r="L44" i="53"/>
  <c r="K44" i="53"/>
  <c r="J44" i="53"/>
  <c r="I44" i="53"/>
  <c r="Q43" i="53"/>
  <c r="N43" i="53"/>
  <c r="M43" i="53"/>
  <c r="L43" i="53"/>
  <c r="K43" i="53"/>
  <c r="J43" i="53"/>
  <c r="I43" i="53"/>
  <c r="Q42" i="53"/>
  <c r="N42" i="53"/>
  <c r="M42" i="53"/>
  <c r="L42" i="53"/>
  <c r="K42" i="53"/>
  <c r="J42" i="53"/>
  <c r="I42" i="53"/>
  <c r="Q41" i="53"/>
  <c r="N41" i="53"/>
  <c r="M41" i="53"/>
  <c r="L41" i="53"/>
  <c r="K41" i="53"/>
  <c r="J41" i="53"/>
  <c r="I41" i="53"/>
  <c r="Q40" i="53"/>
  <c r="N40" i="53"/>
  <c r="M40" i="53"/>
  <c r="L40" i="53"/>
  <c r="K40" i="53"/>
  <c r="J40" i="53"/>
  <c r="I40" i="53"/>
  <c r="Q39" i="53"/>
  <c r="N39" i="53"/>
  <c r="M39" i="53"/>
  <c r="L39" i="53"/>
  <c r="K39" i="53"/>
  <c r="J39" i="53"/>
  <c r="I39" i="53"/>
  <c r="Q38" i="53"/>
  <c r="N38" i="53"/>
  <c r="M38" i="53"/>
  <c r="L38" i="53"/>
  <c r="K38" i="53"/>
  <c r="J38" i="53"/>
  <c r="I38" i="53"/>
  <c r="Q37" i="53"/>
  <c r="N37" i="53"/>
  <c r="M37" i="53"/>
  <c r="L37" i="53"/>
  <c r="K37" i="53"/>
  <c r="J37" i="53"/>
  <c r="I37" i="53"/>
  <c r="Q36" i="53"/>
  <c r="N36" i="53"/>
  <c r="M36" i="53"/>
  <c r="L36" i="53"/>
  <c r="K36" i="53"/>
  <c r="J36" i="53"/>
  <c r="I36" i="53"/>
  <c r="Q35" i="53"/>
  <c r="N35" i="53"/>
  <c r="M35" i="53"/>
  <c r="L35" i="53"/>
  <c r="K35" i="53"/>
  <c r="J35" i="53"/>
  <c r="I35" i="53"/>
  <c r="Q34" i="53"/>
  <c r="N34" i="53"/>
  <c r="M34" i="53"/>
  <c r="L34" i="53"/>
  <c r="K34" i="53"/>
  <c r="J34" i="53"/>
  <c r="I34" i="53"/>
  <c r="Q33" i="53"/>
  <c r="N33" i="53"/>
  <c r="M33" i="53"/>
  <c r="L33" i="53"/>
  <c r="K33" i="53"/>
  <c r="J33" i="53"/>
  <c r="I33" i="53"/>
  <c r="Q32" i="53"/>
  <c r="N32" i="53"/>
  <c r="M32" i="53"/>
  <c r="L32" i="53"/>
  <c r="K32" i="53"/>
  <c r="J32" i="53"/>
  <c r="I32" i="53"/>
  <c r="Q31" i="53"/>
  <c r="N31" i="53"/>
  <c r="M31" i="53"/>
  <c r="L31" i="53"/>
  <c r="K31" i="53"/>
  <c r="J31" i="53"/>
  <c r="I31" i="53"/>
  <c r="Q30" i="53"/>
  <c r="N30" i="53"/>
  <c r="M30" i="53"/>
  <c r="L30" i="53"/>
  <c r="K30" i="53"/>
  <c r="J30" i="53"/>
  <c r="I30" i="53"/>
  <c r="Q29" i="53"/>
  <c r="N29" i="53"/>
  <c r="M29" i="53"/>
  <c r="L29" i="53"/>
  <c r="K29" i="53"/>
  <c r="J29" i="53"/>
  <c r="I29" i="53"/>
  <c r="Q28" i="53"/>
  <c r="N28" i="53"/>
  <c r="M28" i="53"/>
  <c r="L28" i="53"/>
  <c r="K28" i="53"/>
  <c r="J28" i="53"/>
  <c r="I28" i="53"/>
  <c r="Q27" i="53"/>
  <c r="N27" i="53"/>
  <c r="M27" i="53"/>
  <c r="L27" i="53"/>
  <c r="K27" i="53"/>
  <c r="J27" i="53"/>
  <c r="I27" i="53"/>
  <c r="Q26" i="53"/>
  <c r="N26" i="53"/>
  <c r="M26" i="53"/>
  <c r="L26" i="53"/>
  <c r="K26" i="53"/>
  <c r="J26" i="53"/>
  <c r="I26" i="53"/>
  <c r="Q25" i="53"/>
  <c r="N25" i="53"/>
  <c r="M25" i="53"/>
  <c r="L25" i="53"/>
  <c r="K25" i="53"/>
  <c r="J25" i="53"/>
  <c r="I25" i="53"/>
  <c r="Q24" i="53"/>
  <c r="N24" i="53"/>
  <c r="M24" i="53"/>
  <c r="L24" i="53"/>
  <c r="K24" i="53"/>
  <c r="J24" i="53"/>
  <c r="I24" i="53"/>
  <c r="Q23" i="53"/>
  <c r="N23" i="53"/>
  <c r="M23" i="53"/>
  <c r="L23" i="53"/>
  <c r="K23" i="53"/>
  <c r="J23" i="53"/>
  <c r="I23" i="53"/>
  <c r="Q22" i="53"/>
  <c r="N22" i="53"/>
  <c r="M22" i="53"/>
  <c r="L22" i="53"/>
  <c r="K22" i="53"/>
  <c r="J22" i="53"/>
  <c r="I22" i="53"/>
  <c r="Q21" i="53"/>
  <c r="N21" i="53"/>
  <c r="M21" i="53"/>
  <c r="L21" i="53"/>
  <c r="K21" i="53"/>
  <c r="J21" i="53"/>
  <c r="I21" i="53"/>
  <c r="Q20" i="53"/>
  <c r="N20" i="53"/>
  <c r="M20" i="53"/>
  <c r="L20" i="53"/>
  <c r="K20" i="53"/>
  <c r="J20" i="53"/>
  <c r="I20" i="53"/>
  <c r="Q19" i="53"/>
  <c r="N19" i="53"/>
  <c r="M19" i="53"/>
  <c r="L19" i="53"/>
  <c r="K19" i="53"/>
  <c r="J19" i="53"/>
  <c r="I19" i="53"/>
  <c r="Q18" i="53"/>
  <c r="N18" i="53"/>
  <c r="M18" i="53"/>
  <c r="L18" i="53"/>
  <c r="K18" i="53"/>
  <c r="J18" i="53"/>
  <c r="I18" i="53"/>
  <c r="Q17" i="53"/>
  <c r="N17" i="53"/>
  <c r="M17" i="53"/>
  <c r="L17" i="53"/>
  <c r="K17" i="53"/>
  <c r="J17" i="53"/>
  <c r="I17" i="53"/>
  <c r="Q16" i="53"/>
  <c r="N16" i="53"/>
  <c r="M16" i="53"/>
  <c r="L16" i="53"/>
  <c r="K16" i="53"/>
  <c r="J16" i="53"/>
  <c r="I16" i="53"/>
  <c r="Q15" i="53"/>
  <c r="N15" i="53"/>
  <c r="M15" i="53"/>
  <c r="L15" i="53"/>
  <c r="K15" i="53"/>
  <c r="J15" i="53"/>
  <c r="I15" i="53"/>
  <c r="Q14" i="53"/>
  <c r="N14" i="53"/>
  <c r="M14" i="53"/>
  <c r="L14" i="53"/>
  <c r="K14" i="53"/>
  <c r="J14" i="53"/>
  <c r="I14" i="53"/>
  <c r="Q13" i="53"/>
  <c r="N13" i="53"/>
  <c r="M13" i="53"/>
  <c r="L13" i="53"/>
  <c r="K13" i="53"/>
  <c r="J13" i="53"/>
  <c r="I13" i="53"/>
  <c r="Q12" i="53"/>
  <c r="N12" i="53"/>
  <c r="M12" i="53"/>
  <c r="L12" i="53"/>
  <c r="K12" i="53"/>
  <c r="J12" i="53"/>
  <c r="I12" i="53"/>
  <c r="Q11" i="53"/>
  <c r="N11" i="53"/>
  <c r="M11" i="53"/>
  <c r="L11" i="53"/>
  <c r="K11" i="53"/>
  <c r="J11" i="53"/>
  <c r="I11" i="53"/>
  <c r="Q10" i="53"/>
  <c r="N10" i="53"/>
  <c r="M10" i="53"/>
  <c r="L10" i="53"/>
  <c r="K10" i="53"/>
  <c r="J10" i="53"/>
  <c r="I10" i="53"/>
  <c r="Q9" i="53"/>
  <c r="N9" i="53"/>
  <c r="M9" i="53"/>
  <c r="L9" i="53"/>
  <c r="K9" i="53"/>
  <c r="J9" i="53"/>
  <c r="I9" i="53"/>
  <c r="Q8" i="53"/>
  <c r="N8" i="53"/>
  <c r="M8" i="53"/>
  <c r="L8" i="53"/>
  <c r="K8" i="53"/>
  <c r="J8" i="53"/>
  <c r="I8" i="53"/>
  <c r="Q7" i="53"/>
  <c r="N7" i="53"/>
  <c r="M7" i="53"/>
  <c r="L7" i="53"/>
  <c r="K7" i="53"/>
  <c r="J7" i="53"/>
  <c r="I7" i="53"/>
  <c r="Q6" i="53"/>
  <c r="N6" i="53"/>
  <c r="M6" i="53"/>
  <c r="L6" i="53"/>
  <c r="K6" i="53"/>
  <c r="J6" i="53"/>
  <c r="I6" i="53"/>
  <c r="Q5" i="53"/>
  <c r="N5" i="53"/>
  <c r="M5" i="53"/>
  <c r="L5" i="53"/>
  <c r="K5" i="53"/>
  <c r="J5" i="53"/>
  <c r="I5" i="53"/>
  <c r="Q4" i="53"/>
  <c r="N4" i="53"/>
  <c r="M4" i="53"/>
  <c r="L4" i="53"/>
  <c r="K4" i="53"/>
  <c r="J4" i="53"/>
  <c r="I4" i="53"/>
  <c r="O146" i="53" l="1"/>
  <c r="O144" i="53"/>
  <c r="O176" i="53"/>
  <c r="O184" i="53"/>
  <c r="O192" i="53"/>
  <c r="O84" i="53"/>
  <c r="O116" i="53"/>
  <c r="O124" i="53"/>
  <c r="O132" i="53"/>
  <c r="O20" i="53"/>
  <c r="R20" i="53" s="1"/>
  <c r="O59" i="53"/>
  <c r="R59" i="53" s="1"/>
  <c r="O75" i="53"/>
  <c r="R75" i="53" s="1"/>
  <c r="O123" i="53"/>
  <c r="O135" i="53"/>
  <c r="R135" i="53" s="1"/>
  <c r="O52" i="53"/>
  <c r="R52" i="53" s="1"/>
  <c r="O66" i="53"/>
  <c r="R66" i="53" s="1"/>
  <c r="O49" i="53"/>
  <c r="R49" i="53" s="1"/>
  <c r="O44" i="53"/>
  <c r="R44" i="53" s="1"/>
  <c r="O50" i="53"/>
  <c r="R50" i="53" s="1"/>
  <c r="O136" i="53"/>
  <c r="O41" i="53"/>
  <c r="R41" i="53" s="1"/>
  <c r="O108" i="53"/>
  <c r="O114" i="53"/>
  <c r="O130" i="53"/>
  <c r="R130" i="53" s="1"/>
  <c r="O168" i="53"/>
  <c r="O183" i="53"/>
  <c r="O199" i="53"/>
  <c r="O121" i="53"/>
  <c r="O174" i="53"/>
  <c r="O190" i="53"/>
  <c r="O14" i="53"/>
  <c r="R14" i="53" s="1"/>
  <c r="O15" i="53"/>
  <c r="R15" i="53" s="1"/>
  <c r="O16" i="53"/>
  <c r="R16" i="53" s="1"/>
  <c r="O23" i="53"/>
  <c r="R23" i="53" s="1"/>
  <c r="O28" i="53"/>
  <c r="R28" i="53" s="1"/>
  <c r="O39" i="53"/>
  <c r="R39" i="53" s="1"/>
  <c r="O93" i="53"/>
  <c r="O96" i="53"/>
  <c r="O97" i="53"/>
  <c r="O100" i="53"/>
  <c r="O112" i="53"/>
  <c r="O165" i="53"/>
  <c r="O181" i="53"/>
  <c r="O30" i="53"/>
  <c r="R30" i="53" s="1"/>
  <c r="O78" i="53"/>
  <c r="O87" i="53"/>
  <c r="O92" i="53"/>
  <c r="O103" i="53"/>
  <c r="O153" i="53"/>
  <c r="O156" i="53"/>
  <c r="O160" i="53"/>
  <c r="O172" i="53"/>
  <c r="O36" i="53"/>
  <c r="R36" i="53" s="1"/>
  <c r="O4" i="53"/>
  <c r="R4" i="53" s="1"/>
  <c r="O12" i="53"/>
  <c r="R12" i="53" s="1"/>
  <c r="O13" i="53"/>
  <c r="R13" i="53" s="1"/>
  <c r="O21" i="53"/>
  <c r="R21" i="53" s="1"/>
  <c r="O94" i="53"/>
  <c r="O138" i="53"/>
  <c r="O139" i="53"/>
  <c r="O152" i="53"/>
  <c r="O11" i="53"/>
  <c r="R11" i="53" s="1"/>
  <c r="O60" i="53"/>
  <c r="R60" i="53" s="1"/>
  <c r="O61" i="53"/>
  <c r="R61" i="53" s="1"/>
  <c r="O68" i="53"/>
  <c r="R68" i="53" s="1"/>
  <c r="O76" i="53"/>
  <c r="O77" i="53"/>
  <c r="O5" i="53"/>
  <c r="R5" i="53" s="1"/>
  <c r="O22" i="53"/>
  <c r="R22" i="53" s="1"/>
  <c r="O24" i="53"/>
  <c r="R24" i="53" s="1"/>
  <c r="O31" i="53"/>
  <c r="R31" i="53" s="1"/>
  <c r="O58" i="53"/>
  <c r="R58" i="53" s="1"/>
  <c r="O67" i="53"/>
  <c r="R67" i="53" s="1"/>
  <c r="O69" i="53"/>
  <c r="R69" i="53" s="1"/>
  <c r="O86" i="53"/>
  <c r="O95" i="53"/>
  <c r="O101" i="53"/>
  <c r="O104" i="53"/>
  <c r="O105" i="53"/>
  <c r="O113" i="53"/>
  <c r="O122" i="53"/>
  <c r="O131" i="53"/>
  <c r="O147" i="53"/>
  <c r="O155" i="53"/>
  <c r="O161" i="53"/>
  <c r="O164" i="53"/>
  <c r="O169" i="53"/>
  <c r="O173" i="53"/>
  <c r="O182" i="53"/>
  <c r="O191" i="53"/>
  <c r="O200" i="53"/>
  <c r="O32" i="53"/>
  <c r="R32" i="53" s="1"/>
  <c r="O19" i="53"/>
  <c r="R19" i="53" s="1"/>
  <c r="O29" i="53"/>
  <c r="R29" i="53" s="1"/>
  <c r="O38" i="53"/>
  <c r="R38" i="53" s="1"/>
  <c r="O40" i="53"/>
  <c r="R40" i="53" s="1"/>
  <c r="O57" i="53"/>
  <c r="R57" i="53" s="1"/>
  <c r="O74" i="53"/>
  <c r="O83" i="53"/>
  <c r="O111" i="53"/>
  <c r="O117" i="53"/>
  <c r="O120" i="53"/>
  <c r="O129" i="53"/>
  <c r="O134" i="53"/>
  <c r="O143" i="53"/>
  <c r="O154" i="53"/>
  <c r="O163" i="53"/>
  <c r="O177" i="53"/>
  <c r="O180" i="53"/>
  <c r="O189" i="53"/>
  <c r="O198" i="53"/>
  <c r="O10" i="53"/>
  <c r="R10" i="53" s="1"/>
  <c r="O18" i="53"/>
  <c r="R18" i="53" s="1"/>
  <c r="O27" i="53"/>
  <c r="R27" i="53" s="1"/>
  <c r="O37" i="53"/>
  <c r="R37" i="53" s="1"/>
  <c r="O46" i="53"/>
  <c r="R46" i="53" s="1"/>
  <c r="O47" i="53"/>
  <c r="R47" i="53" s="1"/>
  <c r="O48" i="53"/>
  <c r="R48" i="53" s="1"/>
  <c r="O55" i="53"/>
  <c r="R55" i="53" s="1"/>
  <c r="O65" i="53"/>
  <c r="R65" i="53" s="1"/>
  <c r="O82" i="53"/>
  <c r="O91" i="53"/>
  <c r="O102" i="53"/>
  <c r="O110" i="53"/>
  <c r="O119" i="53"/>
  <c r="O125" i="53"/>
  <c r="O128" i="53"/>
  <c r="O133" i="53"/>
  <c r="O142" i="53"/>
  <c r="O151" i="53"/>
  <c r="O162" i="53"/>
  <c r="O170" i="53"/>
  <c r="O171" i="53"/>
  <c r="R171" i="53" s="1"/>
  <c r="O185" i="53"/>
  <c r="O188" i="53"/>
  <c r="O197" i="53"/>
  <c r="O9" i="53"/>
  <c r="R9" i="53" s="1"/>
  <c r="O26" i="53"/>
  <c r="R26" i="53" s="1"/>
  <c r="O35" i="53"/>
  <c r="R35" i="53" s="1"/>
  <c r="O54" i="53"/>
  <c r="R54" i="53" s="1"/>
  <c r="O56" i="53"/>
  <c r="R56" i="53" s="1"/>
  <c r="O63" i="53"/>
  <c r="R63" i="53" s="1"/>
  <c r="O73" i="53"/>
  <c r="R73" i="53" s="1"/>
  <c r="O81" i="53"/>
  <c r="O85" i="53"/>
  <c r="O90" i="53"/>
  <c r="O99" i="53"/>
  <c r="O118" i="53"/>
  <c r="O127" i="53"/>
  <c r="O141" i="53"/>
  <c r="O150" i="53"/>
  <c r="O159" i="53"/>
  <c r="O178" i="53"/>
  <c r="O187" i="53"/>
  <c r="O193" i="53"/>
  <c r="O196" i="53"/>
  <c r="O109" i="53"/>
  <c r="R199" i="53"/>
  <c r="O7" i="53"/>
  <c r="R7" i="53" s="1"/>
  <c r="O17" i="53"/>
  <c r="R17" i="53" s="1"/>
  <c r="O34" i="53"/>
  <c r="R34" i="53" s="1"/>
  <c r="O43" i="53"/>
  <c r="R43" i="53" s="1"/>
  <c r="O45" i="53"/>
  <c r="R45" i="53" s="1"/>
  <c r="O62" i="53"/>
  <c r="R62" i="53" s="1"/>
  <c r="O64" i="53"/>
  <c r="R64" i="53" s="1"/>
  <c r="O71" i="53"/>
  <c r="R71" i="53" s="1"/>
  <c r="O80" i="53"/>
  <c r="O98" i="53"/>
  <c r="O107" i="53"/>
  <c r="O126" i="53"/>
  <c r="O137" i="53"/>
  <c r="O140" i="53"/>
  <c r="O149" i="53"/>
  <c r="O158" i="53"/>
  <c r="O167" i="53"/>
  <c r="O179" i="53"/>
  <c r="O186" i="53"/>
  <c r="O195" i="53"/>
  <c r="O6" i="53"/>
  <c r="R6" i="53" s="1"/>
  <c r="O8" i="53"/>
  <c r="R8" i="53" s="1"/>
  <c r="O25" i="53"/>
  <c r="R25" i="53" s="1"/>
  <c r="O33" i="53"/>
  <c r="R33" i="53" s="1"/>
  <c r="O42" i="53"/>
  <c r="R42" i="53" s="1"/>
  <c r="O51" i="53"/>
  <c r="R51" i="53" s="1"/>
  <c r="O53" i="53"/>
  <c r="R53" i="53" s="1"/>
  <c r="O70" i="53"/>
  <c r="R70" i="53" s="1"/>
  <c r="O72" i="53"/>
  <c r="R72" i="53" s="1"/>
  <c r="O79" i="53"/>
  <c r="O88" i="53"/>
  <c r="O89" i="53"/>
  <c r="O106" i="53"/>
  <c r="O115" i="53"/>
  <c r="O145" i="53"/>
  <c r="O148" i="53"/>
  <c r="O157" i="53"/>
  <c r="O166" i="53"/>
  <c r="O175" i="53"/>
  <c r="O194" i="53"/>
  <c r="R197" i="53" l="1"/>
  <c r="R173" i="53"/>
  <c r="R124" i="53"/>
  <c r="R140" i="53"/>
  <c r="R109" i="53"/>
  <c r="R188" i="53"/>
  <c r="R128" i="53"/>
  <c r="R198" i="53"/>
  <c r="R129" i="53"/>
  <c r="R169" i="53"/>
  <c r="R105" i="53"/>
  <c r="R92" i="53"/>
  <c r="R97" i="53"/>
  <c r="R114" i="53"/>
  <c r="R116" i="53"/>
  <c r="R134" i="53"/>
  <c r="R137" i="53"/>
  <c r="R196" i="53"/>
  <c r="R125" i="53"/>
  <c r="R189" i="53"/>
  <c r="U25" i="62"/>
  <c r="R120" i="53"/>
  <c r="R164" i="53"/>
  <c r="R190" i="53"/>
  <c r="R108" i="53"/>
  <c r="R119" i="53"/>
  <c r="R180" i="53"/>
  <c r="U16" i="62"/>
  <c r="R152" i="53"/>
  <c r="R78" i="53"/>
  <c r="R192" i="53"/>
  <c r="R106" i="53"/>
  <c r="R186" i="53"/>
  <c r="R107" i="53"/>
  <c r="R118" i="53"/>
  <c r="R170" i="53"/>
  <c r="R110" i="53"/>
  <c r="U44" i="61"/>
  <c r="R177" i="53"/>
  <c r="R111" i="53"/>
  <c r="R155" i="53"/>
  <c r="U89" i="61"/>
  <c r="R95" i="53"/>
  <c r="R139" i="53"/>
  <c r="R172" i="53"/>
  <c r="U8" i="62"/>
  <c r="R121" i="53"/>
  <c r="R136" i="53"/>
  <c r="R184" i="53"/>
  <c r="R145" i="53"/>
  <c r="R149" i="53"/>
  <c r="R141" i="53"/>
  <c r="R133" i="53"/>
  <c r="U67" i="61"/>
  <c r="R100" i="53"/>
  <c r="R104" i="53"/>
  <c r="R87" i="53"/>
  <c r="R193" i="53"/>
  <c r="R117" i="53"/>
  <c r="R161" i="53"/>
  <c r="R101" i="53"/>
  <c r="R98" i="53"/>
  <c r="R178" i="53"/>
  <c r="R99" i="53"/>
  <c r="R162" i="53"/>
  <c r="R102" i="53"/>
  <c r="R163" i="53"/>
  <c r="U97" i="61"/>
  <c r="R83" i="53"/>
  <c r="R200" i="53"/>
  <c r="R147" i="53"/>
  <c r="R86" i="53"/>
  <c r="R77" i="53"/>
  <c r="R138" i="53"/>
  <c r="R160" i="53"/>
  <c r="R181" i="53"/>
  <c r="R176" i="53"/>
  <c r="U12" i="62"/>
  <c r="R81" i="53"/>
  <c r="U15" i="61"/>
  <c r="R96" i="53"/>
  <c r="U30" i="61"/>
  <c r="R84" i="53"/>
  <c r="R115" i="53"/>
  <c r="R126" i="53"/>
  <c r="R127" i="53"/>
  <c r="R93" i="53"/>
  <c r="R174" i="53"/>
  <c r="R123" i="53"/>
  <c r="R175" i="53"/>
  <c r="R187" i="53"/>
  <c r="R166" i="53"/>
  <c r="R89" i="53"/>
  <c r="R179" i="53"/>
  <c r="R157" i="53"/>
  <c r="R88" i="53"/>
  <c r="R167" i="53"/>
  <c r="R80" i="53"/>
  <c r="R159" i="53"/>
  <c r="R90" i="53"/>
  <c r="R151" i="53"/>
  <c r="R91" i="53"/>
  <c r="R154" i="53"/>
  <c r="R74" i="53"/>
  <c r="U8" i="61"/>
  <c r="R191" i="53"/>
  <c r="R131" i="53"/>
  <c r="R76" i="53"/>
  <c r="R94" i="53"/>
  <c r="R156" i="53"/>
  <c r="R165" i="53"/>
  <c r="R183" i="53"/>
  <c r="R144" i="53"/>
  <c r="R113" i="53"/>
  <c r="R103" i="53"/>
  <c r="R185" i="53"/>
  <c r="U21" i="62"/>
  <c r="R194" i="53"/>
  <c r="U30" i="62"/>
  <c r="R195" i="53"/>
  <c r="R148" i="53"/>
  <c r="R79" i="53"/>
  <c r="R158" i="53"/>
  <c r="R150" i="53"/>
  <c r="R85" i="53"/>
  <c r="R142" i="53"/>
  <c r="U76" i="61"/>
  <c r="R82" i="53"/>
  <c r="R143" i="53"/>
  <c r="R182" i="53"/>
  <c r="R122" i="53"/>
  <c r="U56" i="61"/>
  <c r="R153" i="53"/>
  <c r="R112" i="53"/>
  <c r="R168" i="53"/>
  <c r="R132" i="53"/>
  <c r="R146" i="53"/>
  <c r="AL11" i="22"/>
  <c r="AK5" i="22"/>
  <c r="AK6" i="22"/>
  <c r="AK7" i="22"/>
  <c r="AK4" i="22"/>
  <c r="Y16" i="62" l="1"/>
  <c r="Y15" i="61"/>
  <c r="Y21" i="62"/>
  <c r="Y67" i="61"/>
  <c r="Y89" i="61"/>
  <c r="Y8" i="62"/>
  <c r="Y8" i="61"/>
  <c r="Y12" i="62"/>
  <c r="Y44" i="61"/>
  <c r="Y76" i="61"/>
  <c r="Y56" i="61"/>
  <c r="Y97" i="61"/>
  <c r="Y25" i="62"/>
  <c r="Y30" i="62"/>
  <c r="Y30" i="61"/>
  <c r="I28" i="22"/>
  <c r="H28" i="22" s="1"/>
  <c r="I27" i="22"/>
  <c r="H27" i="22" s="1"/>
  <c r="I26" i="22"/>
  <c r="H26" i="22" s="1"/>
  <c r="I25" i="22"/>
  <c r="H25" i="22" s="1"/>
  <c r="I24" i="22"/>
  <c r="H24" i="22" s="1"/>
  <c r="I23" i="22"/>
  <c r="H23" i="22" s="1"/>
  <c r="I21" i="22"/>
  <c r="H21" i="22" s="1"/>
  <c r="I20" i="22"/>
  <c r="H20" i="22" s="1"/>
  <c r="I19" i="22"/>
  <c r="H19" i="22" s="1"/>
  <c r="I18" i="22"/>
  <c r="H18" i="22" s="1"/>
  <c r="I17" i="22"/>
  <c r="H17" i="22" s="1"/>
  <c r="I16" i="22"/>
  <c r="H16" i="22" s="1"/>
  <c r="I14" i="22"/>
  <c r="H14" i="22" s="1"/>
  <c r="I13" i="22"/>
  <c r="H13" i="22" s="1"/>
  <c r="I11" i="22"/>
  <c r="H11" i="22" s="1"/>
  <c r="I10" i="22"/>
  <c r="H10" i="22" s="1"/>
  <c r="I8" i="22"/>
  <c r="H8" i="22" s="1"/>
  <c r="I7" i="22"/>
  <c r="H7" i="22" s="1"/>
  <c r="I6" i="22"/>
  <c r="H6" i="22" s="1"/>
  <c r="E27" i="43"/>
  <c r="E23" i="43"/>
  <c r="E20" i="43"/>
  <c r="E19" i="43"/>
  <c r="E18" i="43"/>
  <c r="E28" i="43"/>
  <c r="E24" i="43"/>
  <c r="E26" i="43"/>
  <c r="E25" i="43"/>
  <c r="E21" i="43"/>
  <c r="E17" i="43"/>
  <c r="E16" i="43"/>
  <c r="E14" i="43"/>
  <c r="F2" i="56" l="1"/>
  <c r="V4" i="34" l="1"/>
  <c r="V36" i="62" l="1"/>
  <c r="V34" i="62"/>
  <c r="V32" i="62"/>
  <c r="V31" i="62"/>
  <c r="V29" i="62"/>
  <c r="V23" i="62"/>
  <c r="V19" i="62"/>
  <c r="V17" i="62"/>
  <c r="V14" i="62"/>
  <c r="V10" i="62"/>
  <c r="V9" i="62"/>
  <c r="V8" i="62"/>
  <c r="V103" i="61"/>
  <c r="V102" i="61"/>
  <c r="V101" i="61"/>
  <c r="V99" i="61"/>
  <c r="V98" i="61"/>
  <c r="V97" i="61"/>
  <c r="V95" i="61"/>
  <c r="V94" i="61"/>
  <c r="V93" i="61"/>
  <c r="V92" i="61"/>
  <c r="V91" i="61"/>
  <c r="V90" i="61"/>
  <c r="V89" i="61"/>
  <c r="V88" i="61"/>
  <c r="V86" i="61"/>
  <c r="V84" i="61"/>
  <c r="V83" i="61"/>
  <c r="V81" i="61"/>
  <c r="V80" i="61"/>
  <c r="V79" i="61"/>
  <c r="V77" i="61"/>
  <c r="V76" i="61"/>
  <c r="V75" i="61"/>
  <c r="V73" i="61"/>
  <c r="V71" i="61"/>
  <c r="V69" i="61"/>
  <c r="V68" i="61"/>
  <c r="V67" i="61"/>
  <c r="V66" i="61"/>
  <c r="V64" i="61"/>
  <c r="V62" i="61"/>
  <c r="V61" i="61"/>
  <c r="V60" i="61"/>
  <c r="V58" i="61"/>
  <c r="V57" i="61"/>
  <c r="V56" i="61"/>
  <c r="V54" i="61"/>
  <c r="V52" i="61"/>
  <c r="V51" i="61"/>
  <c r="V49" i="61"/>
  <c r="V47" i="61"/>
  <c r="V46" i="61"/>
  <c r="V45" i="61"/>
  <c r="V44" i="61"/>
  <c r="V43" i="61"/>
  <c r="V42" i="61"/>
  <c r="V40" i="61"/>
  <c r="V38" i="61"/>
  <c r="V36" i="61"/>
  <c r="V34" i="61"/>
  <c r="V32" i="61"/>
  <c r="V31" i="61"/>
  <c r="V30" i="61"/>
  <c r="V29" i="61"/>
  <c r="V27" i="61"/>
  <c r="V25" i="61"/>
  <c r="V23" i="61"/>
  <c r="V21" i="61"/>
  <c r="V19" i="61"/>
  <c r="V17" i="61"/>
  <c r="V16" i="61"/>
  <c r="V15" i="61"/>
  <c r="V14" i="61"/>
  <c r="V13" i="61"/>
  <c r="V12" i="61"/>
  <c r="V11" i="61"/>
  <c r="V10" i="61"/>
  <c r="V9" i="61"/>
  <c r="V8" i="61"/>
  <c r="V76" i="56"/>
  <c r="V75" i="56"/>
  <c r="V74" i="56"/>
  <c r="V73" i="56"/>
  <c r="V71" i="56"/>
  <c r="V69" i="56"/>
  <c r="V67" i="56"/>
  <c r="V66" i="56"/>
  <c r="V65" i="56"/>
  <c r="V64" i="56"/>
  <c r="V63" i="56"/>
  <c r="V62" i="56"/>
  <c r="V61" i="56"/>
  <c r="V59" i="56"/>
  <c r="V57" i="56"/>
  <c r="V55" i="56"/>
  <c r="V53" i="56"/>
  <c r="V51" i="56"/>
  <c r="V49" i="56"/>
  <c r="V48" i="56"/>
  <c r="V46" i="56"/>
  <c r="V44" i="56"/>
  <c r="V43" i="56"/>
  <c r="V42" i="56"/>
  <c r="V41" i="56"/>
  <c r="V40" i="56"/>
  <c r="V39" i="56"/>
  <c r="V38" i="56"/>
  <c r="V37" i="56"/>
  <c r="V36" i="56"/>
  <c r="V35" i="56"/>
  <c r="V34" i="56"/>
  <c r="V32" i="56"/>
  <c r="V31" i="56"/>
  <c r="V30" i="56"/>
  <c r="V28" i="56"/>
  <c r="V27" i="56"/>
  <c r="V26" i="56"/>
  <c r="V25" i="56"/>
  <c r="V24" i="56"/>
  <c r="V23" i="56"/>
  <c r="V21" i="56"/>
  <c r="V19" i="56"/>
  <c r="V18" i="56"/>
  <c r="V16" i="56"/>
  <c r="V15" i="56"/>
  <c r="V13" i="56"/>
  <c r="V12" i="56"/>
  <c r="V11" i="56"/>
  <c r="V8" i="56"/>
  <c r="V9" i="56"/>
  <c r="V13" i="62" l="1"/>
  <c r="X13" i="62" s="1"/>
  <c r="V21" i="62"/>
  <c r="X21" i="62" s="1"/>
  <c r="V25" i="62"/>
  <c r="X25" i="62" s="1"/>
  <c r="V33" i="62"/>
  <c r="X33" i="62" s="1"/>
  <c r="V18" i="62"/>
  <c r="X18" i="62" s="1"/>
  <c r="V22" i="62"/>
  <c r="X22" i="62" s="1"/>
  <c r="V26" i="62"/>
  <c r="X26" i="62" s="1"/>
  <c r="V30" i="62"/>
  <c r="X30" i="62" s="1"/>
  <c r="V27" i="62"/>
  <c r="X27" i="62" s="1"/>
  <c r="V35" i="62"/>
  <c r="X35" i="62" s="1"/>
  <c r="V12" i="62"/>
  <c r="X12" i="62" s="1"/>
  <c r="V16" i="62"/>
  <c r="X16" i="62" s="1"/>
  <c r="V28" i="62"/>
  <c r="X28" i="62" s="1"/>
  <c r="X9" i="62"/>
  <c r="X8" i="61"/>
  <c r="X8" i="62"/>
  <c r="X11" i="61"/>
  <c r="X19" i="62"/>
  <c r="X19" i="61"/>
  <c r="X27" i="61"/>
  <c r="X43" i="61"/>
  <c r="X51" i="61"/>
  <c r="X71" i="61"/>
  <c r="X79" i="61"/>
  <c r="X95" i="61"/>
  <c r="X103" i="61"/>
  <c r="X12" i="61"/>
  <c r="X36" i="62"/>
  <c r="X36" i="61"/>
  <c r="X44" i="61"/>
  <c r="X52" i="61"/>
  <c r="X60" i="61"/>
  <c r="X80" i="61"/>
  <c r="X88" i="61"/>
  <c r="X29" i="62"/>
  <c r="X29" i="61"/>
  <c r="X73" i="61"/>
  <c r="X14" i="62"/>
  <c r="X14" i="61"/>
  <c r="X30" i="61"/>
  <c r="X38" i="61"/>
  <c r="X46" i="61"/>
  <c r="X54" i="61"/>
  <c r="X62" i="61"/>
  <c r="X90" i="61"/>
  <c r="X98" i="61"/>
  <c r="X97" i="61"/>
  <c r="X15" i="61"/>
  <c r="X23" i="62"/>
  <c r="X23" i="61"/>
  <c r="X31" i="62"/>
  <c r="X31" i="61"/>
  <c r="X47" i="61"/>
  <c r="X67" i="61"/>
  <c r="X75" i="61"/>
  <c r="X83" i="61"/>
  <c r="X91" i="61"/>
  <c r="X99" i="61"/>
  <c r="X45" i="61"/>
  <c r="X89" i="61"/>
  <c r="X16" i="61"/>
  <c r="X32" i="62"/>
  <c r="X32" i="61"/>
  <c r="X40" i="61"/>
  <c r="X56" i="61"/>
  <c r="X64" i="61"/>
  <c r="X68" i="61"/>
  <c r="X76" i="61"/>
  <c r="X84" i="61"/>
  <c r="X92" i="61"/>
  <c r="X13" i="61"/>
  <c r="X61" i="61"/>
  <c r="X17" i="62"/>
  <c r="X17" i="61"/>
  <c r="X25" i="61"/>
  <c r="X49" i="61"/>
  <c r="X57" i="61"/>
  <c r="X69" i="61"/>
  <c r="X77" i="61"/>
  <c r="X93" i="61"/>
  <c r="X101" i="61"/>
  <c r="X21" i="61"/>
  <c r="X81" i="61"/>
  <c r="X10" i="61"/>
  <c r="X10" i="62"/>
  <c r="X34" i="62"/>
  <c r="X34" i="61"/>
  <c r="X42" i="61"/>
  <c r="X58" i="61"/>
  <c r="X66" i="61"/>
  <c r="X86" i="61"/>
  <c r="X94" i="61"/>
  <c r="X102" i="61"/>
  <c r="X16" i="56"/>
  <c r="X64" i="56"/>
  <c r="X32" i="56"/>
  <c r="X25" i="56"/>
  <c r="X41" i="56"/>
  <c r="X49" i="56"/>
  <c r="X57" i="56"/>
  <c r="X65" i="56"/>
  <c r="X73" i="56"/>
  <c r="X24" i="56"/>
  <c r="X18" i="56"/>
  <c r="X26" i="56"/>
  <c r="X34" i="56"/>
  <c r="X42" i="56"/>
  <c r="X66" i="56"/>
  <c r="X74" i="56"/>
  <c r="X11" i="56"/>
  <c r="X19" i="56"/>
  <c r="X27" i="56"/>
  <c r="X35" i="56"/>
  <c r="X43" i="56"/>
  <c r="X51" i="56"/>
  <c r="X59" i="56"/>
  <c r="X67" i="56"/>
  <c r="X75" i="56"/>
  <c r="X12" i="56"/>
  <c r="X28" i="56"/>
  <c r="X36" i="56"/>
  <c r="X44" i="56"/>
  <c r="X76" i="56"/>
  <c r="X13" i="56"/>
  <c r="X21" i="56"/>
  <c r="X37" i="56"/>
  <c r="X53" i="56"/>
  <c r="X61" i="56"/>
  <c r="X69" i="56"/>
  <c r="X48" i="56"/>
  <c r="X30" i="56"/>
  <c r="X38" i="56"/>
  <c r="X46" i="56"/>
  <c r="X62" i="56"/>
  <c r="X40" i="56"/>
  <c r="X9" i="56"/>
  <c r="X9" i="61"/>
  <c r="X15" i="56"/>
  <c r="X23" i="56"/>
  <c r="X31" i="56"/>
  <c r="X39" i="56"/>
  <c r="X55" i="56"/>
  <c r="X63" i="56"/>
  <c r="X71" i="56"/>
  <c r="X8" i="56"/>
  <c r="Q3" i="53" l="1"/>
  <c r="N3" i="53"/>
  <c r="M3" i="53"/>
  <c r="L3" i="53"/>
  <c r="K3" i="53"/>
  <c r="J3" i="53"/>
  <c r="I3" i="53"/>
  <c r="B125" i="53" l="1"/>
  <c r="B15" i="53"/>
  <c r="O3" i="53"/>
  <c r="B53" i="53"/>
  <c r="B107" i="53"/>
  <c r="B129" i="53"/>
  <c r="B127" i="53"/>
  <c r="U48" i="56"/>
  <c r="B82" i="53"/>
  <c r="B34" i="53"/>
  <c r="Y48" i="56" l="1"/>
  <c r="U8" i="56"/>
  <c r="R3" i="53"/>
  <c r="B3" i="53" s="1"/>
  <c r="B195" i="53"/>
  <c r="U66" i="56"/>
  <c r="U38" i="56"/>
  <c r="U18" i="56"/>
  <c r="U30" i="56"/>
  <c r="U61" i="56"/>
  <c r="B13" i="53"/>
  <c r="B30" i="53"/>
  <c r="B64" i="53"/>
  <c r="B47" i="53"/>
  <c r="B77" i="53"/>
  <c r="B165" i="53"/>
  <c r="B111" i="53"/>
  <c r="B79" i="53"/>
  <c r="B141" i="53"/>
  <c r="B132" i="53"/>
  <c r="B133" i="53"/>
  <c r="B94" i="53"/>
  <c r="B12" i="53"/>
  <c r="B134" i="53"/>
  <c r="B105" i="53"/>
  <c r="B8" i="53"/>
  <c r="B112" i="53"/>
  <c r="B41" i="53"/>
  <c r="B157" i="53"/>
  <c r="B42" i="53"/>
  <c r="B56" i="53"/>
  <c r="B130" i="53"/>
  <c r="B168" i="53"/>
  <c r="B49" i="53"/>
  <c r="B100" i="53"/>
  <c r="B68" i="53"/>
  <c r="B62" i="53"/>
  <c r="B160" i="53"/>
  <c r="B91" i="53"/>
  <c r="B59" i="53"/>
  <c r="B150" i="53"/>
  <c r="B153" i="53"/>
  <c r="B54" i="53"/>
  <c r="B149" i="53"/>
  <c r="B71" i="53"/>
  <c r="B39" i="53"/>
  <c r="B151" i="53"/>
  <c r="B89" i="53"/>
  <c r="B83" i="53"/>
  <c r="B51" i="53"/>
  <c r="B19" i="53"/>
  <c r="B22" i="53"/>
  <c r="B102" i="53"/>
  <c r="B40" i="53"/>
  <c r="B98" i="53"/>
  <c r="B66" i="53"/>
  <c r="B181" i="53"/>
  <c r="B106" i="53"/>
  <c r="B18" i="53"/>
  <c r="B118" i="53"/>
  <c r="B78" i="53"/>
  <c r="B109" i="53"/>
  <c r="B96" i="53"/>
  <c r="B95" i="53"/>
  <c r="B31" i="53"/>
  <c r="B191" i="53"/>
  <c r="B179" i="53"/>
  <c r="B26" i="53"/>
  <c r="B73" i="53"/>
  <c r="B17" i="53"/>
  <c r="B43" i="53"/>
  <c r="B11" i="53"/>
  <c r="B37" i="53"/>
  <c r="B88" i="53"/>
  <c r="B24" i="53"/>
  <c r="B90" i="53"/>
  <c r="B58" i="53"/>
  <c r="B137" i="53"/>
  <c r="B136" i="53"/>
  <c r="B161" i="53"/>
  <c r="B74" i="53"/>
  <c r="B28" i="53"/>
  <c r="B131" i="53"/>
  <c r="B185" i="53"/>
  <c r="B101" i="53"/>
  <c r="B70" i="53"/>
  <c r="B38" i="53"/>
  <c r="B87" i="53"/>
  <c r="B55" i="53"/>
  <c r="B121" i="53"/>
  <c r="B176" i="53"/>
  <c r="B155" i="53"/>
  <c r="B99" i="53"/>
  <c r="B67" i="53"/>
  <c r="B6" i="53"/>
  <c r="B173" i="53"/>
  <c r="B50" i="53"/>
  <c r="B57" i="53"/>
  <c r="B128" i="53"/>
  <c r="B114" i="53"/>
  <c r="B76" i="53"/>
  <c r="B124" i="53"/>
  <c r="B16" i="53"/>
  <c r="B36" i="53"/>
  <c r="B21" i="53"/>
  <c r="B169" i="53"/>
  <c r="B48" i="53"/>
  <c r="B52" i="53"/>
  <c r="B23" i="53"/>
  <c r="B104" i="53"/>
  <c r="B116" i="53"/>
  <c r="B198" i="53"/>
  <c r="B63" i="53"/>
  <c r="B14" i="53"/>
  <c r="B32" i="53"/>
  <c r="B45" i="53"/>
  <c r="B81" i="53"/>
  <c r="B20" i="53"/>
  <c r="B148" i="53"/>
  <c r="B110" i="53"/>
  <c r="B199" i="53"/>
  <c r="B139" i="53"/>
  <c r="B86" i="53"/>
  <c r="B142" i="53"/>
  <c r="B143" i="53"/>
  <c r="B140" i="53"/>
  <c r="B145" i="53"/>
  <c r="B162" i="53"/>
  <c r="B177" i="53"/>
  <c r="B122" i="53"/>
  <c r="B44" i="53"/>
  <c r="B196" i="53"/>
  <c r="B147" i="53"/>
  <c r="B119" i="53"/>
  <c r="B10" i="53"/>
  <c r="B93" i="53"/>
  <c r="B5" i="53"/>
  <c r="B80" i="53"/>
  <c r="B103" i="53"/>
  <c r="B35" i="53"/>
  <c r="B117" i="53"/>
  <c r="B75" i="53"/>
  <c r="B113" i="53"/>
  <c r="B92" i="53"/>
  <c r="B72" i="53"/>
  <c r="B69" i="53"/>
  <c r="B200" i="53"/>
  <c r="B146" i="53"/>
  <c r="B25" i="53"/>
  <c r="B123" i="53"/>
  <c r="B144" i="53"/>
  <c r="B27" i="53"/>
  <c r="B60" i="53"/>
  <c r="B85" i="53"/>
  <c r="B65" i="53"/>
  <c r="B9" i="53"/>
  <c r="B115" i="53"/>
  <c r="B108" i="53"/>
  <c r="B97" i="53"/>
  <c r="B46" i="53"/>
  <c r="B61" i="53"/>
  <c r="B189" i="53"/>
  <c r="B135" i="53"/>
  <c r="B138" i="53"/>
  <c r="B7" i="53"/>
  <c r="B84" i="53"/>
  <c r="B29" i="53"/>
  <c r="B126" i="53"/>
  <c r="B33" i="53"/>
  <c r="B175" i="53"/>
  <c r="B194" i="53"/>
  <c r="B184" i="53"/>
  <c r="B192" i="53"/>
  <c r="B170" i="53"/>
  <c r="B188" i="53"/>
  <c r="B174" i="53"/>
  <c r="B197" i="53"/>
  <c r="B167" i="53"/>
  <c r="B193" i="53"/>
  <c r="B156" i="53"/>
  <c r="B171" i="53"/>
  <c r="B178" i="53"/>
  <c r="B154" i="53"/>
  <c r="B166" i="53"/>
  <c r="B190" i="53"/>
  <c r="B159" i="53"/>
  <c r="B187" i="53"/>
  <c r="B152" i="53"/>
  <c r="B163" i="53"/>
  <c r="B183" i="53"/>
  <c r="B182" i="53"/>
  <c r="B164" i="53"/>
  <c r="B158" i="53"/>
  <c r="B180" i="53"/>
  <c r="B186" i="53"/>
  <c r="B120" i="53"/>
  <c r="B172" i="53"/>
  <c r="Y193" i="34"/>
  <c r="N24" i="60" s="1"/>
  <c r="Y171" i="34"/>
  <c r="N100" i="59" s="1"/>
  <c r="Y143" i="34"/>
  <c r="N72" i="59" s="1"/>
  <c r="Y110" i="34"/>
  <c r="N39" i="59" s="1"/>
  <c r="Y89" i="34"/>
  <c r="N18" i="59" s="1"/>
  <c r="Y69" i="34"/>
  <c r="N68" i="52" s="1"/>
  <c r="Y61" i="34"/>
  <c r="N60" i="52" s="1"/>
  <c r="Y55" i="34"/>
  <c r="N54" i="52" s="1"/>
  <c r="Y124" i="34"/>
  <c r="N53" i="59" s="1"/>
  <c r="Y149" i="34"/>
  <c r="N78" i="59" s="1"/>
  <c r="Y108" i="34"/>
  <c r="N37" i="59" s="1"/>
  <c r="Y73" i="34"/>
  <c r="N72" i="52" s="1"/>
  <c r="U69" i="56" l="1"/>
  <c r="U12" i="56"/>
  <c r="U61" i="61"/>
  <c r="U42" i="56"/>
  <c r="U74" i="56"/>
  <c r="U57" i="56"/>
  <c r="Y57" i="56" s="1"/>
  <c r="U16" i="61"/>
  <c r="Y16" i="61" s="1"/>
  <c r="U19" i="56"/>
  <c r="Y19" i="56" s="1"/>
  <c r="U40" i="56"/>
  <c r="U49" i="56"/>
  <c r="T134" i="34"/>
  <c r="L89" i="61"/>
  <c r="L48" i="56"/>
  <c r="L76" i="61"/>
  <c r="Y61" i="61"/>
  <c r="L56" i="61"/>
  <c r="L8" i="61"/>
  <c r="L8" i="62"/>
  <c r="L97" i="61"/>
  <c r="L30" i="61"/>
  <c r="L21" i="62"/>
  <c r="L30" i="62"/>
  <c r="L16" i="62"/>
  <c r="L15" i="61"/>
  <c r="L67" i="61"/>
  <c r="L38" i="56"/>
  <c r="L25" i="62"/>
  <c r="L44" i="61"/>
  <c r="L12" i="62"/>
  <c r="Y66" i="56"/>
  <c r="Y38" i="56"/>
  <c r="Y18" i="56"/>
  <c r="U9" i="56"/>
  <c r="U71" i="56"/>
  <c r="L66" i="56"/>
  <c r="U11" i="56"/>
  <c r="U36" i="56"/>
  <c r="U62" i="56"/>
  <c r="U44" i="56"/>
  <c r="U25" i="56"/>
  <c r="L18" i="56"/>
  <c r="U55" i="56"/>
  <c r="U24" i="56"/>
  <c r="B4" i="53"/>
  <c r="T136" i="34"/>
  <c r="U19" i="62" l="1"/>
  <c r="U40" i="61"/>
  <c r="U101" i="61"/>
  <c r="U36" i="61"/>
  <c r="Y36" i="61" s="1"/>
  <c r="U27" i="62"/>
  <c r="U88" i="61"/>
  <c r="Y88" i="61" s="1"/>
  <c r="U81" i="61"/>
  <c r="Y81" i="61" s="1"/>
  <c r="U73" i="61"/>
  <c r="Y73" i="61" s="1"/>
  <c r="U25" i="61"/>
  <c r="U45" i="61"/>
  <c r="Y45" i="61" s="1"/>
  <c r="U58" i="61"/>
  <c r="Y58" i="61" s="1"/>
  <c r="U17" i="61"/>
  <c r="Y17" i="61" s="1"/>
  <c r="U46" i="61"/>
  <c r="U84" i="61"/>
  <c r="Y84" i="61" s="1"/>
  <c r="U34" i="62"/>
  <c r="U66" i="61"/>
  <c r="Y66" i="61" s="1"/>
  <c r="U83" i="61"/>
  <c r="U42" i="61"/>
  <c r="Y42" i="61" s="1"/>
  <c r="U99" i="61"/>
  <c r="Y99" i="61" s="1"/>
  <c r="U31" i="61"/>
  <c r="Y31" i="61" s="1"/>
  <c r="U19" i="61"/>
  <c r="U10" i="62"/>
  <c r="U79" i="61"/>
  <c r="Y79" i="61" s="1"/>
  <c r="U69" i="61"/>
  <c r="Y69" i="61" s="1"/>
  <c r="U37" i="56"/>
  <c r="U16" i="56"/>
  <c r="Y16" i="56" s="1"/>
  <c r="U34" i="61"/>
  <c r="Y34" i="61" s="1"/>
  <c r="U26" i="62"/>
  <c r="Y26" i="62" s="1"/>
  <c r="U23" i="62"/>
  <c r="U86" i="61"/>
  <c r="Y86" i="61" s="1"/>
  <c r="U11" i="61"/>
  <c r="Y11" i="61" s="1"/>
  <c r="U41" i="56"/>
  <c r="Y41" i="56" s="1"/>
  <c r="U75" i="61"/>
  <c r="U94" i="61"/>
  <c r="Y94" i="61" s="1"/>
  <c r="U46" i="56"/>
  <c r="Y46" i="56" s="1"/>
  <c r="U77" i="61"/>
  <c r="Y77" i="61" s="1"/>
  <c r="U80" i="61"/>
  <c r="U33" i="62"/>
  <c r="Y33" i="62" s="1"/>
  <c r="U57" i="61"/>
  <c r="U31" i="62"/>
  <c r="Y31" i="62" s="1"/>
  <c r="U23" i="61"/>
  <c r="U52" i="61"/>
  <c r="U29" i="61"/>
  <c r="Y29" i="61" s="1"/>
  <c r="U35" i="62"/>
  <c r="Y35" i="62" s="1"/>
  <c r="U93" i="61"/>
  <c r="Y93" i="61" s="1"/>
  <c r="U28" i="56"/>
  <c r="Y28" i="56" s="1"/>
  <c r="U27" i="61"/>
  <c r="Y27" i="61" s="1"/>
  <c r="U90" i="61"/>
  <c r="Y90" i="61" s="1"/>
  <c r="U54" i="61"/>
  <c r="Y54" i="61" s="1"/>
  <c r="U91" i="61"/>
  <c r="Y91" i="61" s="1"/>
  <c r="U95" i="61"/>
  <c r="Y95" i="61" s="1"/>
  <c r="F2" i="60"/>
  <c r="F4" i="62" s="1"/>
  <c r="U71" i="61"/>
  <c r="Y71" i="61" s="1"/>
  <c r="U38" i="61"/>
  <c r="U18" i="62"/>
  <c r="Y18" i="62" s="1"/>
  <c r="U32" i="62"/>
  <c r="Y32" i="62" s="1"/>
  <c r="U36" i="62"/>
  <c r="Y36" i="62" s="1"/>
  <c r="U10" i="61"/>
  <c r="Y10" i="61" s="1"/>
  <c r="U64" i="61"/>
  <c r="Y64" i="61" s="1"/>
  <c r="U17" i="62"/>
  <c r="Y17" i="62" s="1"/>
  <c r="U98" i="61"/>
  <c r="Y98" i="61" s="1"/>
  <c r="U22" i="62"/>
  <c r="Y22" i="62" s="1"/>
  <c r="U14" i="61"/>
  <c r="Y14" i="61" s="1"/>
  <c r="U65" i="56"/>
  <c r="Y65" i="56" s="1"/>
  <c r="U13" i="56"/>
  <c r="Y13" i="56" s="1"/>
  <c r="U73" i="56"/>
  <c r="Y73" i="56" s="1"/>
  <c r="U21" i="56"/>
  <c r="Y21" i="56" s="1"/>
  <c r="U34" i="56"/>
  <c r="Y34" i="56" s="1"/>
  <c r="U64" i="56"/>
  <c r="Y64" i="56" s="1"/>
  <c r="U39" i="56"/>
  <c r="Y39" i="56" s="1"/>
  <c r="U53" i="56"/>
  <c r="Y53" i="56" s="1"/>
  <c r="U35" i="56"/>
  <c r="Y35" i="56" s="1"/>
  <c r="U76" i="56"/>
  <c r="Y76" i="56" s="1"/>
  <c r="U32" i="61"/>
  <c r="Y32" i="61" s="1"/>
  <c r="U43" i="61"/>
  <c r="Y43" i="61" s="1"/>
  <c r="U51" i="61"/>
  <c r="Y51" i="61" s="1"/>
  <c r="U103" i="61"/>
  <c r="Y103" i="61" s="1"/>
  <c r="U47" i="61"/>
  <c r="Y47" i="61" s="1"/>
  <c r="F2" i="59"/>
  <c r="F4" i="61" s="1"/>
  <c r="U26" i="56"/>
  <c r="Y26" i="56" s="1"/>
  <c r="U21" i="61"/>
  <c r="Y21" i="61" s="1"/>
  <c r="U13" i="61"/>
  <c r="Y13" i="61" s="1"/>
  <c r="U9" i="62"/>
  <c r="Y9" i="62" s="1"/>
  <c r="U31" i="56"/>
  <c r="Y31" i="56" s="1"/>
  <c r="U92" i="61"/>
  <c r="Y92" i="61" s="1"/>
  <c r="U43" i="56"/>
  <c r="Y43" i="56" s="1"/>
  <c r="U102" i="61"/>
  <c r="Y102" i="61" s="1"/>
  <c r="U49" i="61"/>
  <c r="Y49" i="61" s="1"/>
  <c r="U12" i="61"/>
  <c r="Y12" i="61" s="1"/>
  <c r="U62" i="61"/>
  <c r="Y62" i="61" s="1"/>
  <c r="U13" i="62"/>
  <c r="Y13" i="62" s="1"/>
  <c r="U28" i="62"/>
  <c r="Y28" i="62" s="1"/>
  <c r="U68" i="61"/>
  <c r="Y68" i="61" s="1"/>
  <c r="U14" i="62"/>
  <c r="Y14" i="62" s="1"/>
  <c r="U60" i="61"/>
  <c r="Y60" i="61" s="1"/>
  <c r="U9" i="61"/>
  <c r="Y9" i="61" s="1"/>
  <c r="U29" i="62"/>
  <c r="Y29" i="62" s="1"/>
  <c r="U51" i="56"/>
  <c r="Y51" i="56" s="1"/>
  <c r="U23" i="56"/>
  <c r="Y23" i="56" s="1"/>
  <c r="U59" i="56"/>
  <c r="Y59" i="56" s="1"/>
  <c r="U75" i="56"/>
  <c r="Y75" i="56" s="1"/>
  <c r="U27" i="56"/>
  <c r="Y27" i="56" s="1"/>
  <c r="U32" i="56"/>
  <c r="Y32" i="56" s="1"/>
  <c r="U67" i="56"/>
  <c r="Y67" i="56" s="1"/>
  <c r="U63" i="56"/>
  <c r="Y63" i="56" s="1"/>
  <c r="U15" i="56"/>
  <c r="Y15" i="56" s="1"/>
  <c r="Y34" i="62"/>
  <c r="Y83" i="61"/>
  <c r="Y10" i="62"/>
  <c r="Y19" i="61"/>
  <c r="Y80" i="61"/>
  <c r="Y52" i="61"/>
  <c r="Y19" i="62"/>
  <c r="Y101" i="61"/>
  <c r="Y25" i="61"/>
  <c r="Y46" i="61"/>
  <c r="Y75" i="61"/>
  <c r="Y57" i="61"/>
  <c r="Y23" i="61"/>
  <c r="Y27" i="62"/>
  <c r="Y23" i="62"/>
  <c r="Y40" i="61"/>
  <c r="Y38" i="61"/>
  <c r="Y9" i="56"/>
  <c r="Y61" i="56"/>
  <c r="L61" i="56"/>
  <c r="Y42" i="56"/>
  <c r="Y55" i="56"/>
  <c r="Y44" i="56"/>
  <c r="Y40" i="56"/>
  <c r="Y49" i="56"/>
  <c r="Y74" i="56"/>
  <c r="Y62" i="56"/>
  <c r="Y11" i="56"/>
  <c r="Y24" i="56"/>
  <c r="Y69" i="56"/>
  <c r="Y71" i="56"/>
  <c r="Y12" i="56"/>
  <c r="Y37" i="56"/>
  <c r="Y36" i="56"/>
  <c r="Y30" i="56"/>
  <c r="L30" i="56"/>
  <c r="Y25" i="56"/>
  <c r="Y8" i="56"/>
  <c r="L8" i="56"/>
  <c r="F2" i="52" l="1"/>
  <c r="F4" i="56" s="1"/>
  <c r="E13" i="43"/>
  <c r="E11" i="43"/>
  <c r="E10" i="43"/>
  <c r="E8" i="43"/>
  <c r="E7" i="43"/>
  <c r="E6" i="43"/>
  <c r="Q13" i="21" l="1"/>
  <c r="Q14" i="21"/>
  <c r="Q15" i="21"/>
  <c r="Q16" i="21"/>
  <c r="Q17" i="21"/>
  <c r="Q18" i="21"/>
  <c r="Q19" i="21"/>
  <c r="Q20" i="21"/>
  <c r="Q21" i="21"/>
  <c r="Q22" i="21"/>
  <c r="Q23" i="21"/>
  <c r="AA21" i="22" l="1"/>
  <c r="AA20" i="22"/>
  <c r="AA18" i="22"/>
  <c r="AA25" i="22"/>
  <c r="AA17" i="22"/>
  <c r="AA24" i="22"/>
  <c r="AA16" i="22"/>
  <c r="AA23" i="22"/>
  <c r="AA15" i="22"/>
  <c r="AA19" i="22"/>
  <c r="AA22" i="22"/>
  <c r="T17" i="34"/>
  <c r="I5" i="22" l="1"/>
  <c r="E5" i="43"/>
  <c r="E3" i="43"/>
  <c r="D3" i="43"/>
  <c r="U4" i="34" l="1"/>
  <c r="T4" i="34"/>
  <c r="S4" i="34"/>
  <c r="R4" i="34"/>
  <c r="Y11" i="34" l="1"/>
  <c r="N10" i="52" s="1"/>
  <c r="Y9" i="34"/>
  <c r="N8" i="52" s="1"/>
  <c r="Y8" i="34"/>
  <c r="Q8" i="20"/>
  <c r="Q7" i="20"/>
  <c r="Y170" i="34" l="1"/>
  <c r="N99" i="59" s="1"/>
  <c r="Y35" i="34"/>
  <c r="N34" i="52" s="1"/>
  <c r="Y98" i="34"/>
  <c r="N27" i="59" s="1"/>
  <c r="Y174" i="34"/>
  <c r="N103" i="59" s="1"/>
  <c r="Y83" i="34"/>
  <c r="N12" i="59" s="1"/>
  <c r="Y52" i="34"/>
  <c r="N51" i="52" s="1"/>
  <c r="Y29" i="34"/>
  <c r="N28" i="52" s="1"/>
  <c r="Y47" i="34"/>
  <c r="N46" i="52" s="1"/>
  <c r="Y91" i="34"/>
  <c r="N20" i="59" s="1"/>
  <c r="Y104" i="34"/>
  <c r="N33" i="59" s="1"/>
  <c r="Y189" i="34"/>
  <c r="N20" i="60" s="1"/>
  <c r="Y51" i="34"/>
  <c r="N50" i="52" s="1"/>
  <c r="Y86" i="34"/>
  <c r="N15" i="59" s="1"/>
  <c r="Y48" i="34"/>
  <c r="N47" i="52" s="1"/>
  <c r="Y96" i="34"/>
  <c r="N25" i="59" s="1"/>
  <c r="Y119" i="34"/>
  <c r="N48" i="59" s="1"/>
  <c r="Y160" i="34"/>
  <c r="N89" i="59" s="1"/>
  <c r="Y93" i="34"/>
  <c r="N22" i="59" s="1"/>
  <c r="Y115" i="34"/>
  <c r="N44" i="59" s="1"/>
  <c r="Y188" i="34"/>
  <c r="N19" i="60" s="1"/>
  <c r="Y199" i="34"/>
  <c r="N30" i="60" s="1"/>
  <c r="Y49" i="34"/>
  <c r="N48" i="52" s="1"/>
  <c r="Y59" i="34"/>
  <c r="N58" i="52" s="1"/>
  <c r="Y84" i="34"/>
  <c r="N13" i="59" s="1"/>
  <c r="Y184" i="34"/>
  <c r="N15" i="60" s="1"/>
  <c r="Y204" i="34"/>
  <c r="N35" i="60" s="1"/>
  <c r="Y46" i="34"/>
  <c r="N45" i="52" s="1"/>
  <c r="Y118" i="34"/>
  <c r="N47" i="59" s="1"/>
  <c r="Y72" i="34"/>
  <c r="N71" i="52" s="1"/>
  <c r="Y95" i="34"/>
  <c r="N24" i="59" s="1"/>
  <c r="Y92" i="34"/>
  <c r="N21" i="59" s="1"/>
  <c r="Y176" i="34"/>
  <c r="Y190" i="34"/>
  <c r="N21" i="60" s="1"/>
  <c r="Y123" i="34"/>
  <c r="N52" i="59" s="1"/>
  <c r="Y100" i="34"/>
  <c r="N29" i="59" s="1"/>
  <c r="Y185" i="34"/>
  <c r="N16" i="60" s="1"/>
  <c r="Y94" i="34"/>
  <c r="N23" i="59" s="1"/>
  <c r="Y130" i="34"/>
  <c r="N59" i="59" s="1"/>
  <c r="Y138" i="34"/>
  <c r="N67" i="59" s="1"/>
  <c r="Y158" i="34"/>
  <c r="N87" i="59" s="1"/>
  <c r="Y30" i="34"/>
  <c r="N29" i="52" s="1"/>
  <c r="Y106" i="34"/>
  <c r="N35" i="59" s="1"/>
  <c r="Y18" i="34"/>
  <c r="N17" i="52" s="1"/>
  <c r="Y71" i="34"/>
  <c r="N70" i="52" s="1"/>
  <c r="Y99" i="34"/>
  <c r="N28" i="59" s="1"/>
  <c r="Y198" i="34"/>
  <c r="N29" i="60" s="1"/>
  <c r="Y28" i="34"/>
  <c r="N27" i="52" s="1"/>
  <c r="Y168" i="34"/>
  <c r="N97" i="59" s="1"/>
  <c r="T14" i="34" l="1"/>
  <c r="T13" i="34"/>
  <c r="T15" i="34"/>
  <c r="T8" i="34"/>
  <c r="T9" i="34"/>
  <c r="T20" i="34"/>
  <c r="Q6" i="20"/>
  <c r="Q5" i="20"/>
  <c r="Q4" i="20"/>
  <c r="F11" i="20"/>
  <c r="F4" i="20"/>
  <c r="O33" i="60" l="1"/>
  <c r="G33" i="62" s="1"/>
  <c r="O29" i="60"/>
  <c r="G29" i="62" s="1"/>
  <c r="O25" i="60"/>
  <c r="O21" i="60"/>
  <c r="O17" i="60"/>
  <c r="G17" i="62" s="1"/>
  <c r="O13" i="60"/>
  <c r="G13" i="62" s="1"/>
  <c r="O9" i="60"/>
  <c r="G9" i="62" s="1"/>
  <c r="O102" i="59"/>
  <c r="G102" i="61" s="1"/>
  <c r="O98" i="59"/>
  <c r="G98" i="61" s="1"/>
  <c r="O94" i="59"/>
  <c r="G94" i="61" s="1"/>
  <c r="O90" i="59"/>
  <c r="G90" i="61" s="1"/>
  <c r="O86" i="59"/>
  <c r="G86" i="61" s="1"/>
  <c r="O82" i="59"/>
  <c r="O78" i="59"/>
  <c r="O74" i="59"/>
  <c r="O70" i="59"/>
  <c r="O66" i="59"/>
  <c r="G66" i="61" s="1"/>
  <c r="O62" i="59"/>
  <c r="G62" i="61" s="1"/>
  <c r="O58" i="59"/>
  <c r="G58" i="61" s="1"/>
  <c r="O54" i="59"/>
  <c r="G54" i="61" s="1"/>
  <c r="O50" i="59"/>
  <c r="O46" i="59"/>
  <c r="G46" i="61" s="1"/>
  <c r="O42" i="59"/>
  <c r="G42" i="61" s="1"/>
  <c r="O38" i="59"/>
  <c r="G38" i="61" s="1"/>
  <c r="O34" i="59"/>
  <c r="G34" i="61" s="1"/>
  <c r="O30" i="59"/>
  <c r="O26" i="59"/>
  <c r="O22" i="59"/>
  <c r="O18" i="59"/>
  <c r="O14" i="59"/>
  <c r="G14" i="61" s="1"/>
  <c r="O10" i="59"/>
  <c r="G10" i="61" s="1"/>
  <c r="O75" i="52"/>
  <c r="G75" i="56" s="1"/>
  <c r="O71" i="52"/>
  <c r="G71" i="56" s="1"/>
  <c r="O67" i="52"/>
  <c r="G67" i="56" s="1"/>
  <c r="O63" i="52"/>
  <c r="G63" i="56" s="1"/>
  <c r="O59" i="52"/>
  <c r="G59" i="56" s="1"/>
  <c r="O55" i="52"/>
  <c r="G55" i="56" s="1"/>
  <c r="O51" i="52"/>
  <c r="G51" i="56" s="1"/>
  <c r="O47" i="52"/>
  <c r="O43" i="52"/>
  <c r="G43" i="56" s="1"/>
  <c r="O39" i="52"/>
  <c r="G39" i="56" s="1"/>
  <c r="O35" i="52"/>
  <c r="G35" i="56" s="1"/>
  <c r="O31" i="52"/>
  <c r="G31" i="56" s="1"/>
  <c r="O27" i="52"/>
  <c r="G27" i="56" s="1"/>
  <c r="O23" i="52"/>
  <c r="G23" i="56" s="1"/>
  <c r="O19" i="52"/>
  <c r="G19" i="56" s="1"/>
  <c r="O15" i="52"/>
  <c r="G15" i="56" s="1"/>
  <c r="O11" i="52"/>
  <c r="G11" i="56" s="1"/>
  <c r="O27" i="60"/>
  <c r="G27" i="62" s="1"/>
  <c r="O104" i="59"/>
  <c r="O92" i="59"/>
  <c r="G92" i="61" s="1"/>
  <c r="O84" i="59"/>
  <c r="G84" i="61" s="1"/>
  <c r="O72" i="59"/>
  <c r="O60" i="59"/>
  <c r="G60" i="61" s="1"/>
  <c r="O48" i="59"/>
  <c r="O36" i="59"/>
  <c r="G36" i="61" s="1"/>
  <c r="O24" i="59"/>
  <c r="O12" i="59"/>
  <c r="G12" i="61" s="1"/>
  <c r="O69" i="52"/>
  <c r="G69" i="56" s="1"/>
  <c r="O61" i="52"/>
  <c r="O57" i="52"/>
  <c r="G57" i="56" s="1"/>
  <c r="O49" i="52"/>
  <c r="G49" i="56" s="1"/>
  <c r="O41" i="52"/>
  <c r="G41" i="56" s="1"/>
  <c r="O33" i="52"/>
  <c r="O25" i="52"/>
  <c r="G25" i="56" s="1"/>
  <c r="O13" i="52"/>
  <c r="G13" i="56" s="1"/>
  <c r="O34" i="60"/>
  <c r="G34" i="62" s="1"/>
  <c r="O30" i="60"/>
  <c r="O18" i="60"/>
  <c r="G18" i="62" s="1"/>
  <c r="O14" i="60"/>
  <c r="G14" i="62" s="1"/>
  <c r="O103" i="59"/>
  <c r="G103" i="61" s="1"/>
  <c r="O91" i="59"/>
  <c r="G91" i="61" s="1"/>
  <c r="O83" i="59"/>
  <c r="G83" i="61" s="1"/>
  <c r="O71" i="59"/>
  <c r="G71" i="61" s="1"/>
  <c r="O59" i="59"/>
  <c r="O47" i="59"/>
  <c r="G47" i="61" s="1"/>
  <c r="O35" i="59"/>
  <c r="O23" i="59"/>
  <c r="G23" i="61" s="1"/>
  <c r="O11" i="59"/>
  <c r="G11" i="61" s="1"/>
  <c r="O68" i="52"/>
  <c r="O56" i="52"/>
  <c r="O44" i="52"/>
  <c r="G44" i="56" s="1"/>
  <c r="O32" i="52"/>
  <c r="G32" i="56" s="1"/>
  <c r="O20" i="52"/>
  <c r="O36" i="60"/>
  <c r="G36" i="62" s="1"/>
  <c r="O32" i="60"/>
  <c r="G32" i="62" s="1"/>
  <c r="O28" i="60"/>
  <c r="G28" i="62" s="1"/>
  <c r="O24" i="60"/>
  <c r="O20" i="60"/>
  <c r="O16" i="60"/>
  <c r="O12" i="60"/>
  <c r="O101" i="59"/>
  <c r="G101" i="61" s="1"/>
  <c r="O97" i="59"/>
  <c r="O93" i="59"/>
  <c r="G93" i="61" s="1"/>
  <c r="O89" i="59"/>
  <c r="O85" i="59"/>
  <c r="O81" i="59"/>
  <c r="G81" i="61" s="1"/>
  <c r="O77" i="59"/>
  <c r="G77" i="61" s="1"/>
  <c r="O73" i="59"/>
  <c r="G73" i="61" s="1"/>
  <c r="O69" i="59"/>
  <c r="G69" i="61" s="1"/>
  <c r="O65" i="59"/>
  <c r="O61" i="59"/>
  <c r="G61" i="61" s="1"/>
  <c r="O57" i="59"/>
  <c r="G57" i="61" s="1"/>
  <c r="O53" i="59"/>
  <c r="O49" i="59"/>
  <c r="G49" i="61" s="1"/>
  <c r="O45" i="59"/>
  <c r="G45" i="61" s="1"/>
  <c r="O41" i="59"/>
  <c r="O37" i="59"/>
  <c r="O33" i="59"/>
  <c r="O29" i="59"/>
  <c r="G29" i="61" s="1"/>
  <c r="O25" i="59"/>
  <c r="G25" i="61" s="1"/>
  <c r="O21" i="59"/>
  <c r="G21" i="61" s="1"/>
  <c r="O17" i="59"/>
  <c r="G17" i="61" s="1"/>
  <c r="O13" i="59"/>
  <c r="G13" i="61" s="1"/>
  <c r="O9" i="59"/>
  <c r="G9" i="61" s="1"/>
  <c r="O74" i="52"/>
  <c r="G74" i="56" s="1"/>
  <c r="O70" i="52"/>
  <c r="O62" i="52"/>
  <c r="G62" i="56" s="1"/>
  <c r="O58" i="52"/>
  <c r="O54" i="52"/>
  <c r="O50" i="52"/>
  <c r="O46" i="52"/>
  <c r="G46" i="56" s="1"/>
  <c r="O42" i="52"/>
  <c r="G42" i="56" s="1"/>
  <c r="O38" i="52"/>
  <c r="O34" i="52"/>
  <c r="G34" i="56" s="1"/>
  <c r="O30" i="52"/>
  <c r="O26" i="52"/>
  <c r="G26" i="56" s="1"/>
  <c r="O22" i="52"/>
  <c r="O18" i="52"/>
  <c r="O14" i="52"/>
  <c r="O35" i="60"/>
  <c r="G35" i="62" s="1"/>
  <c r="O31" i="60"/>
  <c r="G31" i="62" s="1"/>
  <c r="O23" i="60"/>
  <c r="G23" i="62" s="1"/>
  <c r="O15" i="60"/>
  <c r="O11" i="60"/>
  <c r="O100" i="59"/>
  <c r="O88" i="59"/>
  <c r="G88" i="61" s="1"/>
  <c r="O76" i="59"/>
  <c r="O64" i="59"/>
  <c r="G64" i="61" s="1"/>
  <c r="O56" i="59"/>
  <c r="O44" i="59"/>
  <c r="O32" i="59"/>
  <c r="G32" i="61" s="1"/>
  <c r="O20" i="59"/>
  <c r="O21" i="52"/>
  <c r="G21" i="56" s="1"/>
  <c r="O26" i="60"/>
  <c r="G26" i="62" s="1"/>
  <c r="O99" i="59"/>
  <c r="G99" i="61" s="1"/>
  <c r="O87" i="59"/>
  <c r="O75" i="59"/>
  <c r="G75" i="61" s="1"/>
  <c r="O63" i="59"/>
  <c r="O51" i="59"/>
  <c r="G51" i="61" s="1"/>
  <c r="O39" i="59"/>
  <c r="O27" i="59"/>
  <c r="G27" i="61" s="1"/>
  <c r="O15" i="59"/>
  <c r="O72" i="52"/>
  <c r="O60" i="52"/>
  <c r="O48" i="52"/>
  <c r="O36" i="52"/>
  <c r="G36" i="56" s="1"/>
  <c r="O24" i="52"/>
  <c r="G24" i="56" s="1"/>
  <c r="O16" i="52"/>
  <c r="G16" i="56" s="1"/>
  <c r="O19" i="60"/>
  <c r="G19" i="62" s="1"/>
  <c r="O96" i="59"/>
  <c r="O80" i="59"/>
  <c r="G80" i="61" s="1"/>
  <c r="O68" i="59"/>
  <c r="G68" i="61" s="1"/>
  <c r="O52" i="59"/>
  <c r="G52" i="61" s="1"/>
  <c r="O40" i="59"/>
  <c r="G40" i="61" s="1"/>
  <c r="O28" i="59"/>
  <c r="O16" i="59"/>
  <c r="G16" i="61" s="1"/>
  <c r="O73" i="52"/>
  <c r="G73" i="56" s="1"/>
  <c r="O65" i="52"/>
  <c r="G65" i="56" s="1"/>
  <c r="O53" i="52"/>
  <c r="G53" i="56" s="1"/>
  <c r="O45" i="52"/>
  <c r="O37" i="52"/>
  <c r="G37" i="56" s="1"/>
  <c r="O29" i="52"/>
  <c r="O17" i="52"/>
  <c r="O9" i="52"/>
  <c r="G9" i="56" s="1"/>
  <c r="O22" i="60"/>
  <c r="G22" i="62" s="1"/>
  <c r="O10" i="60"/>
  <c r="G10" i="62" s="1"/>
  <c r="O95" i="59"/>
  <c r="G95" i="61" s="1"/>
  <c r="O79" i="59"/>
  <c r="G79" i="61" s="1"/>
  <c r="O67" i="59"/>
  <c r="O55" i="59"/>
  <c r="O43" i="59"/>
  <c r="G43" i="61" s="1"/>
  <c r="O31" i="59"/>
  <c r="G31" i="61" s="1"/>
  <c r="O19" i="59"/>
  <c r="G19" i="61" s="1"/>
  <c r="O76" i="52"/>
  <c r="G76" i="56" s="1"/>
  <c r="O64" i="52"/>
  <c r="G64" i="56" s="1"/>
  <c r="O52" i="52"/>
  <c r="O40" i="52"/>
  <c r="G40" i="56" s="1"/>
  <c r="O28" i="52"/>
  <c r="G28" i="56" s="1"/>
  <c r="O12" i="52"/>
  <c r="G12" i="56" s="1"/>
  <c r="Y114" i="34"/>
  <c r="N43" i="59" s="1"/>
  <c r="Y33" i="34"/>
  <c r="N32" i="52" s="1"/>
  <c r="Y201" i="34"/>
  <c r="N32" i="60" s="1"/>
  <c r="Y135" i="34"/>
  <c r="N64" i="59" s="1"/>
  <c r="Y75" i="34"/>
  <c r="N74" i="52" s="1"/>
  <c r="Y151" i="34"/>
  <c r="N80" i="59" s="1"/>
  <c r="Y24" i="34"/>
  <c r="N23" i="52" s="1"/>
  <c r="Y159" i="34"/>
  <c r="N88" i="59" s="1"/>
  <c r="Y157" i="34"/>
  <c r="N86" i="59" s="1"/>
  <c r="Y187" i="34"/>
  <c r="N18" i="60" s="1"/>
  <c r="Y56" i="34"/>
  <c r="N55" i="52" s="1"/>
  <c r="Y131" i="34"/>
  <c r="N60" i="59" s="1"/>
  <c r="Y77" i="34"/>
  <c r="N76" i="52" s="1"/>
  <c r="Y26" i="34"/>
  <c r="N25" i="52" s="1"/>
  <c r="Y107" i="34"/>
  <c r="N36" i="59" s="1"/>
  <c r="Y50" i="34"/>
  <c r="N49" i="52" s="1"/>
  <c r="Y182" i="34"/>
  <c r="N13" i="60" s="1"/>
  <c r="Y41" i="34"/>
  <c r="N40" i="52" s="1"/>
  <c r="Y117" i="34"/>
  <c r="N46" i="59" s="1"/>
  <c r="Y140" i="34"/>
  <c r="N69" i="59" s="1"/>
  <c r="Y133" i="34"/>
  <c r="N62" i="59" s="1"/>
  <c r="Y178" i="34"/>
  <c r="N9" i="60" s="1"/>
  <c r="Y68" i="34"/>
  <c r="N67" i="52" s="1"/>
  <c r="Y191" i="34"/>
  <c r="N22" i="60" s="1"/>
  <c r="Y125" i="34"/>
  <c r="N54" i="59" s="1"/>
  <c r="Y161" i="34"/>
  <c r="N90" i="59" s="1"/>
  <c r="Y128" i="34"/>
  <c r="N57" i="59" s="1"/>
  <c r="Y20" i="34"/>
  <c r="N19" i="52" s="1"/>
  <c r="Y122" i="34"/>
  <c r="N51" i="59" s="1"/>
  <c r="Y186" i="34"/>
  <c r="N17" i="60" s="1"/>
  <c r="Y116" i="34"/>
  <c r="N45" i="59" s="1"/>
  <c r="Y32" i="34"/>
  <c r="N31" i="52" s="1"/>
  <c r="Y200" i="34"/>
  <c r="N31" i="60" s="1"/>
  <c r="Y80" i="34"/>
  <c r="N9" i="59" s="1"/>
  <c r="Y87" i="34"/>
  <c r="N16" i="59" s="1"/>
  <c r="Y102" i="34"/>
  <c r="N31" i="59" s="1"/>
  <c r="T29" i="34"/>
  <c r="Y19" i="34"/>
  <c r="N18" i="52" s="1"/>
  <c r="Y36" i="34"/>
  <c r="N35" i="52" s="1"/>
  <c r="Y45" i="34"/>
  <c r="N44" i="52" s="1"/>
  <c r="Y79" i="34"/>
  <c r="N8" i="59" s="1"/>
  <c r="Y16" i="34"/>
  <c r="N15" i="52" s="1"/>
  <c r="Y76" i="34"/>
  <c r="N75" i="52" s="1"/>
  <c r="Y38" i="34"/>
  <c r="N37" i="52" s="1"/>
  <c r="Y132" i="34"/>
  <c r="N61" i="59" s="1"/>
  <c r="Y152" i="34"/>
  <c r="N81" i="59" s="1"/>
  <c r="Y78" i="34"/>
  <c r="Y129" i="34"/>
  <c r="N58" i="59" s="1"/>
  <c r="Y39" i="34"/>
  <c r="N38" i="52" s="1"/>
  <c r="Y141" i="34"/>
  <c r="N70" i="59" s="1"/>
  <c r="Y195" i="34"/>
  <c r="N26" i="60" s="1"/>
  <c r="Y43" i="34"/>
  <c r="N42" i="52" s="1"/>
  <c r="Y111" i="34"/>
  <c r="N40" i="59" s="1"/>
  <c r="Y139" i="34"/>
  <c r="N68" i="59" s="1"/>
  <c r="Y154" i="34"/>
  <c r="N83" i="59" s="1"/>
  <c r="Y205" i="34"/>
  <c r="N36" i="60" s="1"/>
  <c r="Y23" i="34"/>
  <c r="N22" i="52" s="1"/>
  <c r="Y66" i="34"/>
  <c r="N65" i="52" s="1"/>
  <c r="Y147" i="34"/>
  <c r="N76" i="59" s="1"/>
  <c r="Y167" i="34"/>
  <c r="N96" i="59" s="1"/>
  <c r="Y180" i="34"/>
  <c r="N11" i="60" s="1"/>
  <c r="Y42" i="34"/>
  <c r="N41" i="52" s="1"/>
  <c r="Y63" i="34"/>
  <c r="N62" i="52" s="1"/>
  <c r="Y101" i="34"/>
  <c r="N30" i="59" s="1"/>
  <c r="Y137" i="34"/>
  <c r="N66" i="59" s="1"/>
  <c r="Y144" i="34"/>
  <c r="N73" i="59" s="1"/>
  <c r="Y155" i="34"/>
  <c r="N84" i="59" s="1"/>
  <c r="Y164" i="34"/>
  <c r="N93" i="59" s="1"/>
  <c r="Y177" i="34"/>
  <c r="N8" i="60" s="1"/>
  <c r="Y197" i="34"/>
  <c r="N28" i="60" s="1"/>
  <c r="Y13" i="34"/>
  <c r="N12" i="52" s="1"/>
  <c r="Y25" i="34"/>
  <c r="N24" i="52" s="1"/>
  <c r="Y58" i="34"/>
  <c r="N57" i="52" s="1"/>
  <c r="Y70" i="34"/>
  <c r="N69" i="52" s="1"/>
  <c r="Y81" i="34"/>
  <c r="N10" i="59" s="1"/>
  <c r="Y173" i="34"/>
  <c r="N102" i="59" s="1"/>
  <c r="Y183" i="34"/>
  <c r="N14" i="60" s="1"/>
  <c r="Y194" i="34"/>
  <c r="N25" i="60" s="1"/>
  <c r="Y203" i="34"/>
  <c r="N34" i="60" s="1"/>
  <c r="Y22" i="34"/>
  <c r="N21" i="52" s="1"/>
  <c r="Y44" i="34"/>
  <c r="N43" i="52" s="1"/>
  <c r="Y54" i="34"/>
  <c r="N53" i="52" s="1"/>
  <c r="Y65" i="34"/>
  <c r="N64" i="52" s="1"/>
  <c r="Y90" i="34"/>
  <c r="N19" i="59" s="1"/>
  <c r="Y103" i="34"/>
  <c r="N32" i="59" s="1"/>
  <c r="Y146" i="34"/>
  <c r="N75" i="59" s="1"/>
  <c r="Y166" i="34"/>
  <c r="N95" i="59" s="1"/>
  <c r="Y179" i="34"/>
  <c r="N10" i="60" s="1"/>
  <c r="Y14" i="34"/>
  <c r="N13" i="52" s="1"/>
  <c r="Y120" i="34"/>
  <c r="N49" i="59" s="1"/>
  <c r="Y153" i="34"/>
  <c r="N82" i="59" s="1"/>
  <c r="Y162" i="34"/>
  <c r="N91" i="59" s="1"/>
  <c r="Y175" i="34"/>
  <c r="N104" i="59" s="1"/>
  <c r="Y31" i="34"/>
  <c r="N30" i="52" s="1"/>
  <c r="Y62" i="34"/>
  <c r="N61" i="52" s="1"/>
  <c r="Y142" i="34"/>
  <c r="N71" i="59" s="1"/>
  <c r="Y64" i="34"/>
  <c r="N63" i="52" s="1"/>
  <c r="Y148" i="34"/>
  <c r="N77" i="59" s="1"/>
  <c r="Y163" i="34"/>
  <c r="N92" i="59" s="1"/>
  <c r="Y202" i="34"/>
  <c r="N33" i="60" s="1"/>
  <c r="Y113" i="34"/>
  <c r="N42" i="59" s="1"/>
  <c r="Y40" i="34"/>
  <c r="N39" i="52" s="1"/>
  <c r="Y165" i="34"/>
  <c r="N94" i="59" s="1"/>
  <c r="Y181" i="34"/>
  <c r="N12" i="60" s="1"/>
  <c r="Y196" i="34"/>
  <c r="N27" i="60" s="1"/>
  <c r="Y57" i="34"/>
  <c r="N56" i="52" s="1"/>
  <c r="Y145" i="34"/>
  <c r="N74" i="59" s="1"/>
  <c r="Y17" i="34"/>
  <c r="N16" i="52" s="1"/>
  <c r="Y156" i="34"/>
  <c r="N85" i="59" s="1"/>
  <c r="Y21" i="34"/>
  <c r="N20" i="52" s="1"/>
  <c r="Y37" i="34"/>
  <c r="N36" i="52" s="1"/>
  <c r="Y105" i="34"/>
  <c r="N34" i="59" s="1"/>
  <c r="Y121" i="34"/>
  <c r="N50" i="59" s="1"/>
  <c r="Y172" i="34"/>
  <c r="N101" i="59" s="1"/>
  <c r="Y15" i="34"/>
  <c r="N14" i="52" s="1"/>
  <c r="Y53" i="34"/>
  <c r="N52" i="52" s="1"/>
  <c r="Y67" i="34"/>
  <c r="N66" i="52" s="1"/>
  <c r="Y85" i="34"/>
  <c r="N14" i="59" s="1"/>
  <c r="Y27" i="34"/>
  <c r="N26" i="52" s="1"/>
  <c r="Y60" i="34"/>
  <c r="N59" i="52" s="1"/>
  <c r="Y97" i="34"/>
  <c r="N26" i="59" s="1"/>
  <c r="Y112" i="34"/>
  <c r="N41" i="59" s="1"/>
  <c r="Y192" i="34"/>
  <c r="N23" i="60" s="1"/>
  <c r="Y150" i="34"/>
  <c r="N79" i="59" s="1"/>
  <c r="Y74" i="34"/>
  <c r="N73" i="52" s="1"/>
  <c r="Y109" i="34"/>
  <c r="N38" i="59" s="1"/>
  <c r="T10" i="34"/>
  <c r="T11" i="34"/>
  <c r="T12" i="34"/>
  <c r="T28" i="34"/>
  <c r="Y34" i="34"/>
  <c r="N33" i="52" s="1"/>
  <c r="Y10" i="34"/>
  <c r="N9" i="52" s="1"/>
  <c r="Y88" i="34"/>
  <c r="N17" i="59" s="1"/>
  <c r="Y82" i="34"/>
  <c r="N11" i="59" s="1"/>
  <c r="Y126" i="34"/>
  <c r="N55" i="59" s="1"/>
  <c r="Y127" i="34"/>
  <c r="N56" i="59" s="1"/>
  <c r="Y169" i="34"/>
  <c r="N98" i="59" s="1"/>
  <c r="Y12" i="34"/>
  <c r="N11" i="52" s="1"/>
  <c r="M8" i="61" l="1"/>
  <c r="N8" i="61" s="1"/>
  <c r="O8" i="61" s="1"/>
  <c r="G8" i="61" s="1"/>
  <c r="M56" i="61"/>
  <c r="R56" i="61" s="1"/>
  <c r="M8" i="62"/>
  <c r="R8" i="62" s="1"/>
  <c r="M16" i="62"/>
  <c r="R16" i="62" s="1"/>
  <c r="M21" i="62"/>
  <c r="P21" i="62" s="1"/>
  <c r="Q21" i="62" s="1"/>
  <c r="M48" i="56"/>
  <c r="M38" i="56"/>
  <c r="M30" i="61"/>
  <c r="M25" i="62"/>
  <c r="M30" i="62"/>
  <c r="M15" i="61"/>
  <c r="M89" i="61"/>
  <c r="M97" i="61"/>
  <c r="M30" i="56"/>
  <c r="M76" i="61"/>
  <c r="M67" i="61"/>
  <c r="M8" i="56"/>
  <c r="M61" i="56"/>
  <c r="M18" i="56"/>
  <c r="M66" i="56"/>
  <c r="M44" i="61"/>
  <c r="M12" i="62"/>
  <c r="S18" i="21"/>
  <c r="S20" i="21"/>
  <c r="R21" i="21"/>
  <c r="S13" i="21"/>
  <c r="P8" i="62" l="1"/>
  <c r="Q8" i="62" s="1"/>
  <c r="AC23" i="22"/>
  <c r="P8" i="61"/>
  <c r="Q8" i="61" s="1"/>
  <c r="R21" i="62"/>
  <c r="R8" i="61"/>
  <c r="N8" i="62"/>
  <c r="O8" i="62" s="1"/>
  <c r="G8" i="62" s="1"/>
  <c r="N21" i="62"/>
  <c r="O21" i="62" s="1"/>
  <c r="G21" i="62" s="1"/>
  <c r="P56" i="61"/>
  <c r="Q56" i="61" s="1"/>
  <c r="N56" i="61"/>
  <c r="O56" i="61" s="1"/>
  <c r="G56" i="61" s="1"/>
  <c r="P16" i="62"/>
  <c r="Q16" i="62" s="1"/>
  <c r="N16" i="62"/>
  <c r="O16" i="62" s="1"/>
  <c r="G16" i="62" s="1"/>
  <c r="R61" i="56"/>
  <c r="N61" i="56"/>
  <c r="O61" i="56" s="1"/>
  <c r="G61" i="56" s="1"/>
  <c r="P61" i="56"/>
  <c r="Q61" i="56" s="1"/>
  <c r="R12" i="62"/>
  <c r="N12" i="62"/>
  <c r="O12" i="62" s="1"/>
  <c r="G12" i="62" s="1"/>
  <c r="P12" i="62"/>
  <c r="Q12" i="62" s="1"/>
  <c r="R97" i="61"/>
  <c r="P97" i="61"/>
  <c r="Q97" i="61" s="1"/>
  <c r="N97" i="61"/>
  <c r="O97" i="61" s="1"/>
  <c r="G97" i="61" s="1"/>
  <c r="R44" i="61"/>
  <c r="P44" i="61"/>
  <c r="Q44" i="61" s="1"/>
  <c r="N44" i="61"/>
  <c r="O44" i="61" s="1"/>
  <c r="G44" i="61" s="1"/>
  <c r="R67" i="61"/>
  <c r="P67" i="61"/>
  <c r="Q67" i="61" s="1"/>
  <c r="N67" i="61"/>
  <c r="O67" i="61" s="1"/>
  <c r="G67" i="61" s="1"/>
  <c r="R76" i="61"/>
  <c r="N76" i="61"/>
  <c r="O76" i="61" s="1"/>
  <c r="G76" i="61" s="1"/>
  <c r="P76" i="61"/>
  <c r="Q76" i="61" s="1"/>
  <c r="R89" i="61"/>
  <c r="P89" i="61"/>
  <c r="Q89" i="61" s="1"/>
  <c r="N89" i="61"/>
  <c r="O89" i="61" s="1"/>
  <c r="G89" i="61" s="1"/>
  <c r="R38" i="56"/>
  <c r="N38" i="56"/>
  <c r="O38" i="56" s="1"/>
  <c r="G38" i="56" s="1"/>
  <c r="P38" i="56"/>
  <c r="Q38" i="56" s="1"/>
  <c r="R30" i="61"/>
  <c r="P30" i="61"/>
  <c r="Q30" i="61" s="1"/>
  <c r="N30" i="61"/>
  <c r="O30" i="61" s="1"/>
  <c r="G30" i="61" s="1"/>
  <c r="R66" i="56"/>
  <c r="P66" i="56"/>
  <c r="Q66" i="56" s="1"/>
  <c r="N66" i="56"/>
  <c r="O66" i="56" s="1"/>
  <c r="G66" i="56" s="1"/>
  <c r="R30" i="56"/>
  <c r="P30" i="56"/>
  <c r="Q30" i="56" s="1"/>
  <c r="N30" i="56"/>
  <c r="O30" i="56" s="1"/>
  <c r="G30" i="56" s="1"/>
  <c r="R15" i="61"/>
  <c r="P15" i="61"/>
  <c r="Q15" i="61" s="1"/>
  <c r="N15" i="61"/>
  <c r="O15" i="61" s="1"/>
  <c r="G15" i="61" s="1"/>
  <c r="R30" i="62"/>
  <c r="P30" i="62"/>
  <c r="Q30" i="62" s="1"/>
  <c r="N30" i="62"/>
  <c r="O30" i="62" s="1"/>
  <c r="G30" i="62" s="1"/>
  <c r="R48" i="56"/>
  <c r="P48" i="56"/>
  <c r="Q48" i="56" s="1"/>
  <c r="N48" i="56"/>
  <c r="O48" i="56" s="1"/>
  <c r="G48" i="56" s="1"/>
  <c r="R18" i="56"/>
  <c r="P18" i="56"/>
  <c r="Q18" i="56" s="1"/>
  <c r="N18" i="56"/>
  <c r="O18" i="56" s="1"/>
  <c r="G18" i="56" s="1"/>
  <c r="R25" i="62"/>
  <c r="P25" i="62"/>
  <c r="Q25" i="62" s="1"/>
  <c r="N25" i="62"/>
  <c r="O25" i="62" s="1"/>
  <c r="G25" i="62" s="1"/>
  <c r="AB3" i="21"/>
  <c r="B5" i="22" s="1"/>
  <c r="AB2" i="21"/>
  <c r="Q12" i="21"/>
  <c r="Q11" i="21"/>
  <c r="Q10" i="21"/>
  <c r="Q9" i="21"/>
  <c r="Q8" i="21"/>
  <c r="Q7" i="21"/>
  <c r="Q6" i="21"/>
  <c r="Q5" i="21"/>
  <c r="S3" i="21"/>
  <c r="S12" i="21"/>
  <c r="S14" i="21"/>
  <c r="R16" i="21"/>
  <c r="S22" i="21"/>
  <c r="R8" i="21"/>
  <c r="R9" i="21"/>
  <c r="S19" i="21"/>
  <c r="R12" i="21"/>
  <c r="S10" i="21"/>
  <c r="R15" i="21"/>
  <c r="R10" i="21"/>
  <c r="R14" i="21"/>
  <c r="S11" i="21"/>
  <c r="R7" i="21"/>
  <c r="S4" i="21"/>
  <c r="S7" i="21"/>
  <c r="S6" i="21"/>
  <c r="S9" i="21"/>
  <c r="R3" i="21"/>
  <c r="R11" i="21"/>
  <c r="R13" i="21"/>
  <c r="R6" i="21"/>
  <c r="S23" i="21"/>
  <c r="S15" i="21"/>
  <c r="R4" i="21"/>
  <c r="S5" i="21"/>
  <c r="R5" i="21"/>
  <c r="S16" i="21"/>
  <c r="R20" i="21"/>
  <c r="R22" i="21"/>
  <c r="R18" i="21"/>
  <c r="S17" i="21"/>
  <c r="S21" i="21"/>
  <c r="R19" i="21"/>
  <c r="R23" i="21"/>
  <c r="R17" i="21"/>
  <c r="S8" i="21"/>
  <c r="AC20" i="22" l="1"/>
  <c r="AC17" i="22"/>
  <c r="AC16" i="22"/>
  <c r="AC25" i="22"/>
  <c r="AC19" i="22"/>
  <c r="AC21" i="22"/>
  <c r="AC18" i="22"/>
  <c r="AC24" i="22"/>
  <c r="AC22" i="22"/>
  <c r="AC15" i="22"/>
  <c r="AA10" i="22"/>
  <c r="AA12" i="22"/>
  <c r="AA9" i="22"/>
  <c r="AA13" i="22"/>
  <c r="AA14" i="22"/>
  <c r="AA11" i="22"/>
  <c r="AA8" i="22"/>
  <c r="B4" i="22"/>
  <c r="T33" i="34"/>
  <c r="T34" i="34"/>
  <c r="B5" i="43"/>
  <c r="B4" i="43"/>
  <c r="AA7" i="22"/>
  <c r="AC11" i="22" l="1"/>
  <c r="AC13" i="22"/>
  <c r="AC14" i="22"/>
  <c r="AC7" i="22"/>
  <c r="AC8" i="22"/>
  <c r="AC10" i="22"/>
  <c r="AC12" i="22"/>
  <c r="AC9" i="22"/>
  <c r="T35" i="34" l="1"/>
  <c r="H5" i="22"/>
  <c r="T190" i="34" l="1"/>
  <c r="T87" i="34"/>
  <c r="T205" i="34"/>
  <c r="AB20" i="21"/>
  <c r="AB13" i="21"/>
  <c r="AB8" i="21"/>
  <c r="T110" i="34"/>
  <c r="B15" i="43" l="1"/>
  <c r="B15" i="22"/>
  <c r="B10" i="22"/>
  <c r="B10" i="43"/>
  <c r="B22" i="22"/>
  <c r="B22" i="43"/>
  <c r="T162" i="34"/>
  <c r="T129" i="34"/>
  <c r="T151" i="34"/>
  <c r="T108" i="34"/>
  <c r="T139" i="34"/>
  <c r="T121" i="34"/>
  <c r="T71" i="34"/>
  <c r="T115" i="34"/>
  <c r="T47" i="34"/>
  <c r="T152" i="34"/>
  <c r="T51" i="34"/>
  <c r="T96" i="34"/>
  <c r="T167" i="34"/>
  <c r="T160" i="34"/>
  <c r="T78" i="34"/>
  <c r="T41" i="34"/>
  <c r="T80" i="34"/>
  <c r="T143" i="34"/>
  <c r="T46" i="34"/>
  <c r="T66" i="34"/>
  <c r="T149" i="34"/>
  <c r="T125" i="34"/>
  <c r="T73" i="34"/>
  <c r="T77" i="34"/>
  <c r="T133" i="34"/>
  <c r="T189" i="34"/>
  <c r="T91" i="34"/>
  <c r="T196" i="34"/>
  <c r="T138" i="34"/>
  <c r="T58" i="34"/>
  <c r="T104" i="34"/>
  <c r="T37" i="34"/>
  <c r="T52" i="34"/>
  <c r="AB17" i="21"/>
  <c r="T27" i="34"/>
  <c r="T117" i="34"/>
  <c r="T201" i="34"/>
  <c r="T113" i="34"/>
  <c r="T103" i="34"/>
  <c r="T182" i="34"/>
  <c r="T194" i="34"/>
  <c r="T177" i="34"/>
  <c r="T164" i="34"/>
  <c r="T144" i="34"/>
  <c r="T99" i="34"/>
  <c r="T45" i="34"/>
  <c r="T171" i="34"/>
  <c r="T89" i="34"/>
  <c r="T107" i="34"/>
  <c r="T193" i="34"/>
  <c r="T83" i="34"/>
  <c r="T61" i="34"/>
  <c r="T123" i="34"/>
  <c r="T49" i="34"/>
  <c r="T195" i="34"/>
  <c r="AB6" i="21"/>
  <c r="T111" i="34"/>
  <c r="T98" i="34"/>
  <c r="AB4" i="21"/>
  <c r="AB25" i="21"/>
  <c r="T200" i="34"/>
  <c r="T155" i="34"/>
  <c r="T199" i="34"/>
  <c r="T142" i="34"/>
  <c r="T165" i="34"/>
  <c r="T156" i="34"/>
  <c r="T112" i="34"/>
  <c r="T203" i="34"/>
  <c r="T82" i="34"/>
  <c r="AB18" i="21"/>
  <c r="T100" i="34"/>
  <c r="T102" i="34"/>
  <c r="T86" i="34"/>
  <c r="T76" i="34"/>
  <c r="T38" i="34"/>
  <c r="T21" i="34"/>
  <c r="T124" i="34"/>
  <c r="T88" i="34"/>
  <c r="AB26" i="21"/>
  <c r="T106" i="34"/>
  <c r="T24" i="34"/>
  <c r="T180" i="34"/>
  <c r="T118" i="34"/>
  <c r="T130" i="34"/>
  <c r="T137" i="34"/>
  <c r="T119" i="34"/>
  <c r="T18" i="34"/>
  <c r="T173" i="34"/>
  <c r="T92" i="34"/>
  <c r="T187" i="34"/>
  <c r="T128" i="34"/>
  <c r="T174" i="34"/>
  <c r="T31" i="34"/>
  <c r="T184" i="34"/>
  <c r="T172" i="34"/>
  <c r="AB10" i="21"/>
  <c r="T186" i="34"/>
  <c r="T150" i="34"/>
  <c r="T127" i="34"/>
  <c r="AB23" i="21"/>
  <c r="T94" i="34"/>
  <c r="T42" i="34"/>
  <c r="T79" i="34"/>
  <c r="T30" i="34"/>
  <c r="T178" i="34"/>
  <c r="T54" i="34"/>
  <c r="T204" i="34"/>
  <c r="T135" i="34"/>
  <c r="T60" i="34"/>
  <c r="AB12" i="21"/>
  <c r="AB22" i="21"/>
  <c r="T131" i="34"/>
  <c r="T19" i="34"/>
  <c r="T141" i="34"/>
  <c r="T185" i="34"/>
  <c r="T57" i="34"/>
  <c r="T197" i="34"/>
  <c r="T175" i="34"/>
  <c r="T192" i="34"/>
  <c r="T69" i="34"/>
  <c r="T161" i="34"/>
  <c r="T68" i="34"/>
  <c r="T109" i="34"/>
  <c r="AB7" i="21"/>
  <c r="T166" i="34"/>
  <c r="T176" i="34"/>
  <c r="T85" i="34"/>
  <c r="T36" i="34"/>
  <c r="T132" i="34"/>
  <c r="T93" i="34"/>
  <c r="T90" i="34"/>
  <c r="T22" i="34"/>
  <c r="T159" i="34"/>
  <c r="T105" i="34"/>
  <c r="T65" i="34"/>
  <c r="T146" i="34"/>
  <c r="T153" i="34"/>
  <c r="T181" i="34"/>
  <c r="T157" i="34"/>
  <c r="T168" i="34"/>
  <c r="T97" i="34"/>
  <c r="T50" i="34"/>
  <c r="T16" i="34"/>
  <c r="T67" i="34"/>
  <c r="T120" i="34"/>
  <c r="T147" i="34"/>
  <c r="T163" i="34"/>
  <c r="T64" i="34"/>
  <c r="T95" i="34"/>
  <c r="T23" i="34"/>
  <c r="T39" i="34"/>
  <c r="T101" i="34"/>
  <c r="T148" i="34"/>
  <c r="T188" i="34"/>
  <c r="T202" i="34"/>
  <c r="T74" i="34"/>
  <c r="AB15" i="21"/>
  <c r="AB9" i="21"/>
  <c r="AB11" i="21"/>
  <c r="AB24" i="21"/>
  <c r="AB19" i="21"/>
  <c r="T122" i="34"/>
  <c r="T72" i="34"/>
  <c r="T44" i="34"/>
  <c r="T81" i="34"/>
  <c r="T145" i="34"/>
  <c r="T84" i="34"/>
  <c r="T62" i="34"/>
  <c r="T75" i="34"/>
  <c r="T114" i="34"/>
  <c r="T126" i="34"/>
  <c r="T169" i="34"/>
  <c r="T55" i="34"/>
  <c r="AB14" i="21"/>
  <c r="AB5" i="21"/>
  <c r="AB16" i="21"/>
  <c r="T56" i="34"/>
  <c r="T154" i="34"/>
  <c r="T140" i="34"/>
  <c r="T53" i="34"/>
  <c r="T48" i="34"/>
  <c r="T43" i="34"/>
  <c r="T26" i="34"/>
  <c r="T63" i="34"/>
  <c r="T198" i="34"/>
  <c r="T25" i="34"/>
  <c r="T183" i="34"/>
  <c r="T158" i="34"/>
  <c r="T40" i="34"/>
  <c r="T116" i="34"/>
  <c r="T32" i="34"/>
  <c r="T179" i="34"/>
  <c r="AB21" i="21"/>
  <c r="T70" i="34"/>
  <c r="T59" i="34"/>
  <c r="AB25" i="22" l="1"/>
  <c r="AB9" i="22"/>
  <c r="AB16" i="22"/>
  <c r="AB23" i="22"/>
  <c r="AB7" i="22"/>
  <c r="AB10" i="22"/>
  <c r="AB21" i="22"/>
  <c r="AB5" i="22"/>
  <c r="AB12" i="22"/>
  <c r="AB19" i="22"/>
  <c r="AB22" i="22"/>
  <c r="AB6" i="22"/>
  <c r="AB17" i="22"/>
  <c r="AB24" i="22"/>
  <c r="AB8" i="22"/>
  <c r="AB15" i="22"/>
  <c r="AB18" i="22"/>
  <c r="AB13" i="22"/>
  <c r="AB20" i="22"/>
  <c r="AB4" i="22"/>
  <c r="AB11" i="22"/>
  <c r="AB14" i="22"/>
  <c r="C10" i="22"/>
  <c r="D10" i="22" s="1"/>
  <c r="C22" i="43"/>
  <c r="D22" i="43" s="1"/>
  <c r="C15" i="22"/>
  <c r="D15" i="22" s="1"/>
  <c r="C10" i="43"/>
  <c r="D10" i="43" s="1"/>
  <c r="C5" i="22"/>
  <c r="D5" i="22" s="1"/>
  <c r="C4" i="43"/>
  <c r="D4" i="43" s="1"/>
  <c r="C4" i="22"/>
  <c r="D4" i="22" s="1"/>
  <c r="C5" i="43"/>
  <c r="D5" i="43" s="1"/>
  <c r="C22" i="22"/>
  <c r="D22" i="22" s="1"/>
  <c r="C15" i="43"/>
  <c r="D15" i="43" s="1"/>
  <c r="B9" i="43"/>
  <c r="C9" i="43" s="1"/>
  <c r="D9" i="43" s="1"/>
  <c r="B9" i="22"/>
  <c r="C9" i="22" s="1"/>
  <c r="D9" i="22" s="1"/>
  <c r="B6" i="22"/>
  <c r="B16" i="43"/>
  <c r="C16" i="43" s="1"/>
  <c r="D16" i="43" s="1"/>
  <c r="B16" i="22"/>
  <c r="C16" i="22" s="1"/>
  <c r="D16" i="22" s="1"/>
  <c r="B26" i="22"/>
  <c r="C26" i="22" s="1"/>
  <c r="D26" i="22" s="1"/>
  <c r="B26" i="43"/>
  <c r="C26" i="43" s="1"/>
  <c r="D26" i="43" s="1"/>
  <c r="B13" i="43"/>
  <c r="C13" i="43" s="1"/>
  <c r="D13" i="43" s="1"/>
  <c r="B13" i="22"/>
  <c r="C13" i="22" s="1"/>
  <c r="D13" i="22" s="1"/>
  <c r="B17" i="43"/>
  <c r="C17" i="43" s="1"/>
  <c r="D17" i="43" s="1"/>
  <c r="B17" i="22"/>
  <c r="C17" i="22" s="1"/>
  <c r="D17" i="22" s="1"/>
  <c r="B23" i="43"/>
  <c r="C23" i="43" s="1"/>
  <c r="D23" i="43" s="1"/>
  <c r="B23" i="22"/>
  <c r="C23" i="22" s="1"/>
  <c r="D23" i="22" s="1"/>
  <c r="B12" i="43"/>
  <c r="C12" i="43" s="1"/>
  <c r="D12" i="43" s="1"/>
  <c r="B12" i="22"/>
  <c r="C12" i="22" s="1"/>
  <c r="D12" i="22" s="1"/>
  <c r="B11" i="43"/>
  <c r="C11" i="43" s="1"/>
  <c r="D11" i="43" s="1"/>
  <c r="B11" i="22"/>
  <c r="C11" i="22" s="1"/>
  <c r="D11" i="22" s="1"/>
  <c r="B18" i="22"/>
  <c r="C18" i="22" s="1"/>
  <c r="D18" i="22" s="1"/>
  <c r="B18" i="43"/>
  <c r="C18" i="43" s="1"/>
  <c r="D18" i="43" s="1"/>
  <c r="B24" i="22"/>
  <c r="C24" i="22" s="1"/>
  <c r="D24" i="22" s="1"/>
  <c r="B24" i="43"/>
  <c r="C24" i="43" s="1"/>
  <c r="D24" i="43" s="1"/>
  <c r="B25" i="43"/>
  <c r="C25" i="43" s="1"/>
  <c r="D25" i="43" s="1"/>
  <c r="B25" i="22"/>
  <c r="C25" i="22" s="1"/>
  <c r="D25" i="22" s="1"/>
  <c r="B8" i="22"/>
  <c r="C8" i="22" s="1"/>
  <c r="D8" i="22" s="1"/>
  <c r="B8" i="43"/>
  <c r="C8" i="43" s="1"/>
  <c r="D8" i="43" s="1"/>
  <c r="B28" i="43"/>
  <c r="C28" i="43" s="1"/>
  <c r="D28" i="43" s="1"/>
  <c r="B28" i="22"/>
  <c r="C28" i="22" s="1"/>
  <c r="D28" i="22" s="1"/>
  <c r="B20" i="43"/>
  <c r="C20" i="43" s="1"/>
  <c r="D20" i="43" s="1"/>
  <c r="B20" i="22"/>
  <c r="C20" i="22" s="1"/>
  <c r="D20" i="22" s="1"/>
  <c r="B27" i="43"/>
  <c r="C27" i="43" s="1"/>
  <c r="D27" i="43" s="1"/>
  <c r="B27" i="22"/>
  <c r="C27" i="22" s="1"/>
  <c r="D27" i="22" s="1"/>
  <c r="B14" i="22"/>
  <c r="C14" i="22" s="1"/>
  <c r="D14" i="22" s="1"/>
  <c r="B14" i="43"/>
  <c r="C14" i="43" s="1"/>
  <c r="D14" i="43" s="1"/>
  <c r="B19" i="22"/>
  <c r="C19" i="22" s="1"/>
  <c r="D19" i="22" s="1"/>
  <c r="B19" i="43"/>
  <c r="C19" i="43" s="1"/>
  <c r="D19" i="43" s="1"/>
  <c r="B21" i="22"/>
  <c r="C21" i="22" s="1"/>
  <c r="D21" i="22" s="1"/>
  <c r="B21" i="43"/>
  <c r="C21" i="43" s="1"/>
  <c r="D21" i="43" s="1"/>
  <c r="B6" i="43"/>
  <c r="B7" i="22"/>
  <c r="C7" i="22" s="1"/>
  <c r="D7" i="22" s="1"/>
  <c r="B7" i="43"/>
  <c r="C7" i="43" s="1"/>
  <c r="D7" i="43" s="1"/>
  <c r="H16" i="56" l="1"/>
  <c r="H12" i="56"/>
  <c r="H15" i="56"/>
  <c r="H9" i="56"/>
  <c r="H13" i="56"/>
  <c r="H11" i="56"/>
  <c r="C6" i="22"/>
  <c r="D6" i="22" s="1"/>
  <c r="AD22" i="22"/>
  <c r="AJ22" i="22" s="1"/>
  <c r="AD6" i="22"/>
  <c r="AD13" i="22"/>
  <c r="AI13" i="22" s="1"/>
  <c r="AD20" i="22"/>
  <c r="AJ20" i="22" s="1"/>
  <c r="AD4" i="22"/>
  <c r="AD11" i="22"/>
  <c r="AD18" i="22"/>
  <c r="AI18" i="22" s="1"/>
  <c r="AD25" i="22"/>
  <c r="AJ25" i="22" s="1"/>
  <c r="AD9" i="22"/>
  <c r="AH9" i="22" s="1"/>
  <c r="AD16" i="22"/>
  <c r="AI16" i="22" s="1"/>
  <c r="AD23" i="22"/>
  <c r="AJ23" i="22" s="1"/>
  <c r="AD7" i="22"/>
  <c r="AH7" i="22" s="1"/>
  <c r="AD14" i="22"/>
  <c r="AD21" i="22"/>
  <c r="AD5" i="22"/>
  <c r="AD12" i="22"/>
  <c r="AD19" i="22"/>
  <c r="AI19" i="22" s="1"/>
  <c r="AD10" i="22"/>
  <c r="AH10" i="22" s="1"/>
  <c r="AD17" i="22"/>
  <c r="AI17" i="22" s="1"/>
  <c r="AD24" i="22"/>
  <c r="AJ24" i="22" s="1"/>
  <c r="AD8" i="22"/>
  <c r="AH8" i="22" s="1"/>
  <c r="AD15" i="22"/>
  <c r="AI15" i="22" s="1"/>
  <c r="C6" i="43"/>
  <c r="D6" i="43" s="1"/>
  <c r="H16" i="61"/>
  <c r="H36" i="61"/>
  <c r="H58" i="61"/>
  <c r="H74" i="56"/>
  <c r="H19" i="61"/>
  <c r="H75" i="56"/>
  <c r="H57" i="61"/>
  <c r="H26" i="56"/>
  <c r="H34" i="56"/>
  <c r="H34" i="61"/>
  <c r="H95" i="61"/>
  <c r="H64" i="61"/>
  <c r="H43" i="61"/>
  <c r="H102" i="61"/>
  <c r="H60" i="61"/>
  <c r="H27" i="62"/>
  <c r="H17" i="61"/>
  <c r="H84" i="61"/>
  <c r="H10" i="62"/>
  <c r="H42" i="56"/>
  <c r="H31" i="62"/>
  <c r="H21" i="61"/>
  <c r="H21" i="56"/>
  <c r="H31" i="56"/>
  <c r="H64" i="56"/>
  <c r="H91" i="61"/>
  <c r="H17" i="62"/>
  <c r="H47" i="61"/>
  <c r="H49" i="61"/>
  <c r="H9" i="61"/>
  <c r="H86" i="61"/>
  <c r="H61" i="61"/>
  <c r="H88" i="61"/>
  <c r="H46" i="61"/>
  <c r="H34" i="62"/>
  <c r="H79" i="61"/>
  <c r="H36" i="56"/>
  <c r="H23" i="61"/>
  <c r="H13" i="61"/>
  <c r="H23" i="62"/>
  <c r="H94" i="61"/>
  <c r="H71" i="61"/>
  <c r="H98" i="61"/>
  <c r="H103" i="61"/>
  <c r="H12" i="61"/>
  <c r="H29" i="62"/>
  <c r="H35" i="56"/>
  <c r="H66" i="61"/>
  <c r="H69" i="61"/>
  <c r="H71" i="56"/>
  <c r="H52" i="61"/>
  <c r="H9" i="62"/>
  <c r="H69" i="56"/>
  <c r="H26" i="62"/>
  <c r="H75" i="61"/>
  <c r="H38" i="61"/>
  <c r="H22" i="62"/>
  <c r="H25" i="56"/>
  <c r="H62" i="61"/>
  <c r="H32" i="62"/>
  <c r="H28" i="62"/>
  <c r="H57" i="56"/>
  <c r="H81" i="61"/>
  <c r="H83" i="61"/>
  <c r="H51" i="56"/>
  <c r="H46" i="56"/>
  <c r="H29" i="61"/>
  <c r="H44" i="56"/>
  <c r="H53" i="56"/>
  <c r="H11" i="61"/>
  <c r="H27" i="61"/>
  <c r="H18" i="62"/>
  <c r="H14" i="61"/>
  <c r="H67" i="56"/>
  <c r="H13" i="62"/>
  <c r="H19" i="62"/>
  <c r="H73" i="61"/>
  <c r="H32" i="56"/>
  <c r="H42" i="61"/>
  <c r="H76" i="56"/>
  <c r="H77" i="61"/>
  <c r="H35" i="62"/>
  <c r="H55" i="56"/>
  <c r="H37" i="56"/>
  <c r="H28" i="56"/>
  <c r="H32" i="61"/>
  <c r="H19" i="56"/>
  <c r="H40" i="61"/>
  <c r="H25" i="61"/>
  <c r="H73" i="56"/>
  <c r="H99" i="61"/>
  <c r="H41" i="56"/>
  <c r="H80" i="61"/>
  <c r="H93" i="61"/>
  <c r="H92" i="61"/>
  <c r="H39" i="56"/>
  <c r="H40" i="56"/>
  <c r="H54" i="61"/>
  <c r="H36" i="62"/>
  <c r="H24" i="56"/>
  <c r="H23" i="56"/>
  <c r="H68" i="61"/>
  <c r="H101" i="61"/>
  <c r="H45" i="61"/>
  <c r="H59" i="56"/>
  <c r="H31" i="61"/>
  <c r="H63" i="56"/>
  <c r="H33" i="62"/>
  <c r="H62" i="56"/>
  <c r="H27" i="56"/>
  <c r="H49" i="56"/>
  <c r="H65" i="56"/>
  <c r="H90" i="61"/>
  <c r="H10" i="61"/>
  <c r="H51" i="61"/>
  <c r="H43" i="56"/>
  <c r="H14" i="62"/>
  <c r="AI14" i="22"/>
  <c r="AJ21" i="22"/>
  <c r="AI12" i="22" l="1"/>
  <c r="AI11" i="22"/>
  <c r="M4" i="21" l="1"/>
  <c r="Q4" i="21"/>
  <c r="M3" i="21"/>
  <c r="Q3" i="21"/>
  <c r="M2" i="21"/>
  <c r="Q2" i="21"/>
  <c r="AA5" i="22" l="1"/>
  <c r="AA4" i="22"/>
  <c r="AA6" i="22"/>
  <c r="AC6" i="22" l="1"/>
  <c r="F7" i="22" s="1"/>
  <c r="AC5" i="22"/>
  <c r="F6" i="22" s="1"/>
  <c r="G6" i="22" s="1"/>
  <c r="F14" i="22"/>
  <c r="G14" i="22" s="1"/>
  <c r="F13" i="22"/>
  <c r="G13" i="22" s="1"/>
  <c r="F8" i="22"/>
  <c r="F16" i="22"/>
  <c r="G16" i="22" s="1"/>
  <c r="AF14" i="22"/>
  <c r="F18" i="22"/>
  <c r="G18" i="22" s="1"/>
  <c r="AF16" i="22"/>
  <c r="F20" i="22"/>
  <c r="G20" i="22" s="1"/>
  <c r="AF18" i="22"/>
  <c r="F19" i="22"/>
  <c r="G19" i="22" s="1"/>
  <c r="AF17" i="22"/>
  <c r="F17" i="22"/>
  <c r="G17" i="22" s="1"/>
  <c r="AF15" i="22"/>
  <c r="F15" i="22"/>
  <c r="G15" i="22" s="1"/>
  <c r="AF13" i="22"/>
  <c r="F10" i="22"/>
  <c r="AE9" i="22"/>
  <c r="F11" i="22"/>
  <c r="G11" i="22" s="1"/>
  <c r="AE10" i="22"/>
  <c r="AF12" i="22"/>
  <c r="AF11" i="22"/>
  <c r="AH4" i="22"/>
  <c r="AE7" i="22"/>
  <c r="AE5" i="22" l="1"/>
  <c r="AH5" i="22"/>
  <c r="G7" i="22"/>
  <c r="AH6" i="22"/>
  <c r="AE6" i="22"/>
  <c r="G8" i="22" l="1"/>
  <c r="AG25" i="22" l="1"/>
  <c r="F28" i="22" l="1"/>
  <c r="G28" i="22" l="1"/>
  <c r="AG24" i="22" l="1"/>
  <c r="AF19" i="22"/>
  <c r="AG20" i="22"/>
  <c r="F23" i="22" l="1"/>
  <c r="F27" i="22"/>
  <c r="G27" i="22" s="1"/>
  <c r="F21" i="22"/>
  <c r="AG21" i="22"/>
  <c r="F24" i="22" l="1"/>
  <c r="G24" i="22" s="1"/>
  <c r="AG22" i="22" l="1"/>
  <c r="AG23" i="22"/>
  <c r="G23" i="22"/>
  <c r="F26" i="22" l="1"/>
  <c r="G26" i="22" s="1"/>
  <c r="F25" i="22"/>
  <c r="G25" i="22" s="1"/>
  <c r="G21" i="22"/>
  <c r="AR6" i="22" l="1"/>
  <c r="F22" i="22" s="1"/>
  <c r="AR5" i="22"/>
  <c r="F12" i="22" s="1"/>
  <c r="AE8" i="22"/>
  <c r="G10" i="22" l="1"/>
  <c r="F9" i="22"/>
  <c r="G9" i="22" s="1"/>
  <c r="P8" i="56" l="1"/>
  <c r="Q8" i="56" s="1"/>
  <c r="R2" i="21"/>
  <c r="AC4" i="22" l="1"/>
  <c r="N8" i="56"/>
  <c r="O8" i="56" s="1"/>
  <c r="G8" i="56" s="1"/>
  <c r="R8" i="56"/>
  <c r="S2" i="21"/>
  <c r="AE4" i="22" l="1"/>
  <c r="F5" i="22"/>
  <c r="G5" i="22" s="1"/>
  <c r="AR4" i="22" s="1"/>
  <c r="F4" i="22" l="1"/>
</calcChain>
</file>

<file path=xl/sharedStrings.xml><?xml version="1.0" encoding="utf-8"?>
<sst xmlns="http://schemas.openxmlformats.org/spreadsheetml/2006/main" count="722" uniqueCount="430">
  <si>
    <t>Comments</t>
  </si>
  <si>
    <t>Don't know</t>
  </si>
  <si>
    <t>Not yet answered</t>
  </si>
  <si>
    <t>Introduction</t>
  </si>
  <si>
    <t>Acknowledgements</t>
  </si>
  <si>
    <t>Warning</t>
  </si>
  <si>
    <t>This Guide has been produced with care and to the best of our ability. However, CREST accepts no responsibility for any problems or incidents arising from its use.</t>
  </si>
  <si>
    <t>Guidelines</t>
  </si>
  <si>
    <t>Weighting</t>
  </si>
  <si>
    <t>x 1</t>
  </si>
  <si>
    <t>x 2</t>
  </si>
  <si>
    <t>x 3</t>
  </si>
  <si>
    <t>Target maturity (1 to 5)</t>
  </si>
  <si>
    <t>target</t>
  </si>
  <si>
    <t>CSIR</t>
  </si>
  <si>
    <t>Agriculture, Forestry, Fishing and Hunting</t>
  </si>
  <si>
    <t>Mining, Quarrying, and Oil and Gas Extraction</t>
  </si>
  <si>
    <t>Utilities</t>
  </si>
  <si>
    <t>Construction</t>
  </si>
  <si>
    <t>Manufacturing</t>
  </si>
  <si>
    <t>Wholesale Trade</t>
  </si>
  <si>
    <t>Retail Trade</t>
  </si>
  <si>
    <t>Transportation and Warehousing</t>
  </si>
  <si>
    <t>Information</t>
  </si>
  <si>
    <t>Insurance</t>
  </si>
  <si>
    <t>Real Estate and Rental and Leasing</t>
  </si>
  <si>
    <t>Professional, Scientific, and Technical Services</t>
  </si>
  <si>
    <t>Management of Companies and Enterprises</t>
  </si>
  <si>
    <t>Administrative and Support and Waste Management and Remediation Services</t>
  </si>
  <si>
    <t>Educational Services</t>
  </si>
  <si>
    <t>Health Care and Social Assistance</t>
  </si>
  <si>
    <t>Arts, Entertainment, and Recreation</t>
  </si>
  <si>
    <t>Accommodation and Food Services</t>
  </si>
  <si>
    <t>Other Services (except Public Administration)</t>
  </si>
  <si>
    <t>Public Administration</t>
  </si>
  <si>
    <t>Not selected</t>
  </si>
  <si>
    <t>Level 1</t>
  </si>
  <si>
    <t>Level 2</t>
  </si>
  <si>
    <t>Level 3</t>
  </si>
  <si>
    <t>Level 4</t>
  </si>
  <si>
    <t>Level 5</t>
  </si>
  <si>
    <t>No</t>
  </si>
  <si>
    <t>Merchant banking</t>
  </si>
  <si>
    <t>Retail banking</t>
  </si>
  <si>
    <t>Investment banking</t>
  </si>
  <si>
    <t>Card services</t>
  </si>
  <si>
    <t>Other banking services</t>
  </si>
  <si>
    <t>Other financial services</t>
  </si>
  <si>
    <t>Partly</t>
  </si>
  <si>
    <t>Mostly</t>
  </si>
  <si>
    <t>Fully</t>
  </si>
  <si>
    <t>Response</t>
  </si>
  <si>
    <t>Weighted score</t>
  </si>
  <si>
    <t>Evidence supplied</t>
  </si>
  <si>
    <t>Level 1 (%)</t>
  </si>
  <si>
    <t>Level 2 (%)</t>
  </si>
  <si>
    <t>Level 3 (%)</t>
  </si>
  <si>
    <t>Level 4 (%)</t>
  </si>
  <si>
    <t>Level 5 (%)</t>
  </si>
  <si>
    <t>9-30</t>
  </si>
  <si>
    <t>31-70</t>
  </si>
  <si>
    <t>71-92</t>
  </si>
  <si>
    <t>93-100</t>
  </si>
  <si>
    <t>Business unit (or equivalent) *</t>
  </si>
  <si>
    <t>Sector *</t>
  </si>
  <si>
    <t>Date of assessment *</t>
  </si>
  <si>
    <t>Role or position *</t>
  </si>
  <si>
    <t>Level</t>
  </si>
  <si>
    <t>Step</t>
  </si>
  <si>
    <t>Q</t>
  </si>
  <si>
    <t>subQ</t>
  </si>
  <si>
    <t>Text</t>
  </si>
  <si>
    <t>Order</t>
  </si>
  <si>
    <t>Phase</t>
  </si>
  <si>
    <t>Sub-heading</t>
  </si>
  <si>
    <t>Stub</t>
  </si>
  <si>
    <t>Type</t>
  </si>
  <si>
    <t>FullQ</t>
  </si>
  <si>
    <t>x 4</t>
  </si>
  <si>
    <t>x 5</t>
  </si>
  <si>
    <t>Overview</t>
  </si>
  <si>
    <t>• People, process, technology and information</t>
  </si>
  <si>
    <t>Maturity model</t>
  </si>
  <si>
    <t>How to use the tool</t>
  </si>
  <si>
    <t>Weighting configuration</t>
  </si>
  <si>
    <t>Important</t>
  </si>
  <si>
    <t>Critical</t>
  </si>
  <si>
    <t>Custom</t>
  </si>
  <si>
    <t>Credits</t>
  </si>
  <si>
    <t xml:space="preserve">This tool has been developed for CREST by </t>
  </si>
  <si>
    <t>Penetration testing process</t>
  </si>
  <si>
    <r>
      <t xml:space="preserve">Instructions on how the tool works and how it can be used can be found on the </t>
    </r>
    <r>
      <rPr>
        <i/>
        <sz val="11"/>
        <color theme="1"/>
        <rFont val="Calibri"/>
        <family val="2"/>
        <scheme val="minor"/>
      </rPr>
      <t>Guidelines</t>
    </r>
    <r>
      <rPr>
        <sz val="11"/>
        <color theme="1"/>
        <rFont val="Calibri"/>
        <family val="2"/>
        <scheme val="minor"/>
      </rPr>
      <t xml:space="preserve"> worksheet.</t>
    </r>
  </si>
  <si>
    <t>CREST would like to extend its special thanks to those CREST member organisations and third parties who took part in interviews, participated in the workshop and completed questionnaires.</t>
  </si>
  <si>
    <t>© CREST 2016</t>
  </si>
  <si>
    <t xml:space="preserve">Consequently, the level of maturity your organisation has in penetration testing should be reviewed in context and compared to your actual requirements for such a capability. The maturity of your organisation can then be compared with other similar organisation to help determine if the level of maturity is appropriate. </t>
  </si>
  <si>
    <t>A weighting factor can be set to give the results for particular steps more importance than others. The selected levels of maturity are then displayed graphically for each of the three phases and overall. Calculations are based on a carefully designed algorithm that takes account of both the level of maturity selected for each step and the step's given weighting.</t>
  </si>
  <si>
    <t>A</t>
  </si>
  <si>
    <t>B</t>
  </si>
  <si>
    <t>C</t>
  </si>
  <si>
    <t>Have you gained permission to test important systems / environments controlled by third parties?</t>
  </si>
  <si>
    <t>Is your test environment as similar to the live environment as possible?</t>
  </si>
  <si>
    <t>Do you identify any testing constraints associated with the planned penetration testing?</t>
  </si>
  <si>
    <t>When identifying testing constraints, do you allow for aspects of the business that cannot be tested due to operational limitations, considering that attackers often do whatever it takes to penetrate an organisation or system (If they are not able to penetrate a particular system, they may simply try another route.)?</t>
  </si>
  <si>
    <t>When identifying testing constraints, do you allow for testing having to be conducted within the confines of the law (considering that attackers often do whatever it takes to penetrate an organisation or system)?</t>
  </si>
  <si>
    <t>When identifying testing constraints, do you allow for testers having limited time to conduct tests, considering that attackers have unlimited time to mount a concerted attack against a system if they have the motivation, capability and resources to do so?</t>
  </si>
  <si>
    <t>Have you identified technical issues that can affect the scope of the test or the security countermeasures in place to detect and deter attacks?</t>
  </si>
  <si>
    <t>Does your scope statement include a definition of the target environment?</t>
  </si>
  <si>
    <t>Does your scope statement include follow-up activities?</t>
  </si>
  <si>
    <t>Establish a management assurance framework</t>
  </si>
  <si>
    <t>Have you established an assurance process to ensure that the penetration testing process meets requirements?</t>
  </si>
  <si>
    <t>Is your penetration testing supported by a change management process?</t>
  </si>
  <si>
    <t>Does the research undertaken include network enumeration / scanning?</t>
  </si>
  <si>
    <t>Does the research undertaken include discovery and assessment?</t>
  </si>
  <si>
    <t>Do penetration testers try to exploit the vulnerabilities identified and actually penetrate the target system?</t>
  </si>
  <si>
    <t>Stage</t>
  </si>
  <si>
    <t>Choose a set of targets by clicking on the radio buttons below.</t>
  </si>
  <si>
    <t>Standard</t>
  </si>
  <si>
    <t>0-7</t>
  </si>
  <si>
    <t>Is the improvement programme carried out in a structured / systematic manner?</t>
  </si>
  <si>
    <r>
      <rPr>
        <b/>
        <i/>
        <sz val="11"/>
        <color theme="1"/>
        <rFont val="Calibri"/>
        <family val="2"/>
        <scheme val="minor"/>
      </rPr>
      <t>Step 1</t>
    </r>
    <r>
      <rPr>
        <sz val="11"/>
        <color theme="1"/>
        <rFont val="Calibri"/>
        <family val="2"/>
        <scheme val="minor"/>
      </rPr>
      <t xml:space="preserve"> - Complete the details for the environment being assessed in the </t>
    </r>
    <r>
      <rPr>
        <i/>
        <sz val="11"/>
        <color theme="1"/>
        <rFont val="Calibri"/>
        <family val="2"/>
        <scheme val="minor"/>
      </rPr>
      <t>Profile and Scope</t>
    </r>
    <r>
      <rPr>
        <sz val="11"/>
        <color theme="1"/>
        <rFont val="Calibri"/>
        <family val="2"/>
        <scheme val="minor"/>
      </rPr>
      <t xml:space="preserve"> worksheet using the text boxes and drop-down lists provided. The name entered for </t>
    </r>
    <r>
      <rPr>
        <i/>
        <sz val="11"/>
        <color theme="1"/>
        <rFont val="Calibri"/>
        <family val="2"/>
        <scheme val="minor"/>
      </rPr>
      <t xml:space="preserve">Target of Assessment </t>
    </r>
    <r>
      <rPr>
        <sz val="11"/>
        <color theme="1"/>
        <rFont val="Calibri"/>
        <family val="2"/>
        <scheme val="minor"/>
      </rPr>
      <t xml:space="preserve">will automatically appear on the </t>
    </r>
    <r>
      <rPr>
        <i/>
        <sz val="11"/>
        <color theme="1"/>
        <rFont val="Calibri"/>
        <family val="2"/>
        <scheme val="minor"/>
      </rPr>
      <t>Results</t>
    </r>
    <r>
      <rPr>
        <sz val="11"/>
        <color theme="1"/>
        <rFont val="Calibri"/>
        <family val="2"/>
        <scheme val="minor"/>
      </rPr>
      <t xml:space="preserve"> worksheets.</t>
    </r>
  </si>
  <si>
    <t>Name of organisation *</t>
  </si>
  <si>
    <t>Name of internal penetration testing coordinator *</t>
  </si>
  <si>
    <t>A1</t>
  </si>
  <si>
    <t>A2</t>
  </si>
  <si>
    <t>A3</t>
  </si>
  <si>
    <t>A4</t>
  </si>
  <si>
    <t>A5</t>
  </si>
  <si>
    <t>A6</t>
  </si>
  <si>
    <t>A7</t>
  </si>
  <si>
    <t>A8</t>
  </si>
  <si>
    <t>Size of business *</t>
  </si>
  <si>
    <t>Very large</t>
  </si>
  <si>
    <t>Large</t>
  </si>
  <si>
    <t>Medium or small</t>
  </si>
  <si>
    <t>Very small</t>
  </si>
  <si>
    <t>High risk significant impact business</t>
  </si>
  <si>
    <t>Higher risk business</t>
  </si>
  <si>
    <t>Medium risk business</t>
  </si>
  <si>
    <t>Low risk business</t>
  </si>
  <si>
    <t>Very low risk business</t>
  </si>
  <si>
    <t>Type of business *</t>
  </si>
  <si>
    <t>Benchmark</t>
  </si>
  <si>
    <t>Penetration Testing Management
Maturity Assessment Tool</t>
  </si>
  <si>
    <t>*</t>
  </si>
  <si>
    <t>Have you identified drivers for carrying out penetration tests as part of a technical assurance programme?</t>
  </si>
  <si>
    <t>Are your drivers for carrying out penetration tests based on an evaluation of relevant criteria?</t>
  </si>
  <si>
    <t>Do your drivers for carrying out penetration tests take account of how a penetration test fits into your organisation’s overall security arrangements; the nature and direction of your business – and your risk appetite?</t>
  </si>
  <si>
    <t>Have you placed your penetration tests within a wider context of security assessment and strategy to help contextualise the findings and recommendations?</t>
  </si>
  <si>
    <t>Do your drivers for penetration testing help to: support the adoption of a strategic view of security management; ensure that major system vulnerabilities are identified and addressed; and reduce the risk of discovering that the same problems still exits the next time a penetration test is carried out?</t>
  </si>
  <si>
    <t>Have you identified target environments that need to be subject to penetration testing, such as critical web applications and important IT infrastructure?</t>
  </si>
  <si>
    <t>Have penetration testing requirements been built into relevant stages of systems development lifecycles (SDLC) in use by your organisation?</t>
  </si>
  <si>
    <t>Benefits of penetration tests can include IT cost reductions; technical and business improvements; as well as greater awareness of security risks and controls.</t>
  </si>
  <si>
    <t>Do you consider the scope limitations of penetration testing?</t>
  </si>
  <si>
    <t>Do you consider the technical limitations of penetration testing?</t>
  </si>
  <si>
    <t>When evaluating the testing limitations of penetration testing you should take into account that a test focuses on the exposures in technical infrastructure; can be limited by legal or commercial considerations (limiting the breadth or depth of a test); and may not uncover all security weaknesses.</t>
  </si>
  <si>
    <t>Do you evaluate the potential difficulties involved with scoping penetration tests?</t>
  </si>
  <si>
    <t>Do you evaluate the potential difficulties involved with resourcing penetration tests?</t>
  </si>
  <si>
    <t>Do you define formal requirements for penetration testing carried out in your organisation?</t>
  </si>
  <si>
    <t>Do your requirements for penetration testing include consideration of any impact on important business applications, key systems and networks (IT infrastructure) and confidential data?</t>
  </si>
  <si>
    <t>Do your requirements for penetration testing specify that testers must validate that the test will be legal and that it will not compromise data protection requirements?</t>
  </si>
  <si>
    <t>Are your requirements for a penetration test formally recorded in a requirements specification, formulated by competent technical experts, reviewed and signed-off, monitored to ensure they are met and then reviewed / revised on a regular basis?</t>
  </si>
  <si>
    <t>Do you identify what style of penetration testing is required?</t>
  </si>
  <si>
    <t>Does your identification of testing style evaluate the need for ‘Black box’, ‘Grey box’ and / or ‘White box’ testing?</t>
  </si>
  <si>
    <t>Does your identification of testing style consider the use of an ‘external’ penetration test (the most common type of test), which is aimed at IT systems from ‘outside the building’?</t>
  </si>
  <si>
    <t>Methods of dealing with operational testing constraints can include simulating live tests as closely as possible and conducting tests outside of normal hours (and locations).</t>
  </si>
  <si>
    <t>Methods of dealing with legal testing constraints can include tailoring the way tests are structured and run to simulate most forms of attack) and taking back-ups of critical systems and files before testing.</t>
  </si>
  <si>
    <t>When identifying testing constraints, do you allow for testers being limited to the scope of the testing and a finite time to conduct tests, considering that attackers will utilise the weakest point of security in any part of connected systems or networks to mount an attack, regardless of ownership, location or jurisdiction – and will often have unlimited time to mount a concerted attack against a system if they have the motivation, capability and resources to do so?</t>
  </si>
  <si>
    <t>Methods of dealing with scope-related testing constraints can include placing perimeter controls within the scope of the test and applying more rigorous testing to applications that are accessible from outside traditional organisational boundaries.</t>
  </si>
  <si>
    <t>When identifying testing constraints, do you allow for the likelihood that most penetration testing will not find all vulnerabilities of a given environment (the law of diminishing returns often applies in that the most obvious vulnerabilities will be discovered first, with further time yielding more and more obscure issues)?</t>
  </si>
  <si>
    <t>Do you formally define reporting requirements for your penetration testing prior to tests commencing?</t>
  </si>
  <si>
    <t>Do your reporting requirements specify the format and type of content to be used in the test report (template often used; when the test report will be delivered (not later than a few days after completion of the test); and how the test report will be delivered (electronic and / or physical)?</t>
  </si>
  <si>
    <t>Do you formally define the scope of penetration tests prior to tests commencing?</t>
  </si>
  <si>
    <t>Does your scope statement specify resourcing requirements?</t>
  </si>
  <si>
    <t>Does your scope statement define liabilities?</t>
  </si>
  <si>
    <t>Does your assurance process define control processes over all important management aspects of testing, including test administration; test execution, and data security?</t>
  </si>
  <si>
    <t>Test administration typically includes scope of tests, legal constraints, disclosure and reporting; test execution typically includes testing approach, separation of systems and duties, tool heritage, traceability and repeatability of tests; whilst data security typically includes secure storage, transmission, processing and destruction of critical or sensitive information provided or accessed during the test.</t>
  </si>
  <si>
    <t>Is the scope of your penetration tests documented in an agreement, defined in a legally binding contact and signed off by all relevant parties before testing starts</t>
  </si>
  <si>
    <t>When conducting penetration tests, do you ensure that those individuals responsible for the running of the target systems have full knowledge of the tests to help protect against unexpected business consequences, such an inadvertent trigger of internal controls; and are aware of – and adhere to - any escalation procedures?</t>
  </si>
  <si>
    <t>Are individuals responsible for the running of the target systems available, as required, during the test period to help: ensure that testing takes place as agreed; keep risks within acceptable boundaries; deal with any problems arising; and manage issues that have been escalated?</t>
  </si>
  <si>
    <t>Are problems arising during penetration testing resolved in an effective, timely manner in accordance with your problem management process?</t>
  </si>
  <si>
    <t>Is your penetration testing methodology based on proven approaches designed by authoritative publicly available sources?</t>
  </si>
  <si>
    <t>Authoritative publicly available sources include the Open Source Security Testing Methodology Manual (OSSTM) or the penetration testing in SP800-115.[3] and the Open Web Application Security Project (OWASP).</t>
  </si>
  <si>
    <t>Specific evaluation and testing criteria include the Information Systems Security Assessment Framework (ISSAF) and a standard common language and scope for performing penetration testing is defined in the Penetration Testing Execution Standard (PTES).</t>
  </si>
  <si>
    <t>Does your penetration testing methodology specify a required approach (or approaches) for carrying out all stages of a comprehensive end-to-end penetration test?</t>
  </si>
  <si>
    <t>An effective penetration testing methodology should specify a required approach (or approaches) for carrying out planning; conducting research; identifying vulnerabilities; exploiting weaknesses; reporting findings; and remediating issues.</t>
  </si>
  <si>
    <t>Do your service providers demonstrate compliance to ‘standard’ methodologies, if required, and develop or augment testing methodologies that each scenario demands?</t>
  </si>
  <si>
    <t>Does the research undertaken include gathering, collating and analysing all relevant information about the target?</t>
  </si>
  <si>
    <t>Is information about the target based on threat intelligence?</t>
  </si>
  <si>
    <t>Does the research undertaken include carrying out reconnaissance?</t>
  </si>
  <si>
    <t>Do penetration testing reports describe the vulnerabilities found?</t>
  </si>
  <si>
    <t>Penetration testing reports should describe the vulnerabilities found by including: test narrative – describing the process that the tester used to achieve particular results; test evidence – results of automated testing tools and screen shots of successful exploits; and details about the associated technical risks (and how to address them).</t>
  </si>
  <si>
    <t>Are penetration testing reports used to present remediation activities undertaken and the root causes of issues identified?</t>
  </si>
  <si>
    <t>Does test reporting include a comprehensive presentation from your service provider about the key findings identified?</t>
  </si>
  <si>
    <t>The presentation about test findings identified should provide details about: how testers found the vulnerabilities; what could be the outcome of each vulnerability; the level of risk to the business for each vulnerability; and advice on how to remediate each vulnerability.</t>
  </si>
  <si>
    <t>Does your improvement programme include all key elements?</t>
  </si>
  <si>
    <t>Do follow-up activities include analysing and addressing the root causes of weaknesses identified in penetration testing?</t>
  </si>
  <si>
    <t>Does root cause analysis include the full range of required actions?</t>
  </si>
  <si>
    <t>Evaluation of the effectiveness of penetration testing should include: determining if objectives were met; assessing if sufficient weaknesses were identified; reviewing exploitations undertaken; comparing test results to external benchmarks; and determining if value for money was obtained from your service provider.</t>
  </si>
  <si>
    <t>Is the effectiveness of your penetration testing evaluated?</t>
  </si>
  <si>
    <t>Are lessons learned used to help in planning future tests, and provide feedback to service providers to help them improve processes?</t>
  </si>
  <si>
    <t>Are action plans formally documented, formulated by competent technical experts, reviewed by business management and signed-off by senior management?</t>
  </si>
  <si>
    <t>Do action plans outline all the relevant actions to be taken to prevent vulnerabilities identified through testing from recurring and help improve the overall information security programme</t>
  </si>
  <si>
    <t>Do action plans include a brief description of each action, including their priority and category; individuals responsible and accountable for each action; and target dates for completion</t>
  </si>
  <si>
    <t>Are action plans implemented effectively and on a timely basis?</t>
  </si>
  <si>
    <t>Are action plans monitored on a regular basis to: ensure progress is being made; highlight any delays or difficulties being experienced; and reassess the level of risk?</t>
  </si>
  <si>
    <t>Extra Step text</t>
  </si>
  <si>
    <t>Define the purpose of the penetration tests</t>
  </si>
  <si>
    <t>Identify testing constraints</t>
  </si>
  <si>
    <t>Use an effective testing methodology</t>
  </si>
  <si>
    <t>Initiate improvement programme</t>
  </si>
  <si>
    <t>Address root causes of weaknesses</t>
  </si>
  <si>
    <t>Evaluate penetration testing effectiveness</t>
  </si>
  <si>
    <t>Create and monitor action plans</t>
  </si>
  <si>
    <t>Moderately</t>
  </si>
  <si>
    <t>response index</t>
  </si>
  <si>
    <t>Target</t>
  </si>
  <si>
    <t xml:space="preserve"> </t>
  </si>
  <si>
    <t>Benchmark Rating</t>
  </si>
  <si>
    <t>Introductory</t>
  </si>
  <si>
    <r>
      <t xml:space="preserve">Organisation / business unit
</t>
    </r>
    <r>
      <rPr>
        <i/>
        <sz val="10"/>
        <rFont val="Calibri"/>
        <family val="2"/>
        <scheme val="minor"/>
      </rPr>
      <t>All fields marked * MUST be completed</t>
    </r>
  </si>
  <si>
    <t>Supplier selection process</t>
  </si>
  <si>
    <r>
      <rPr>
        <b/>
        <i/>
        <sz val="11"/>
        <color theme="1"/>
        <rFont val="Calibri"/>
        <family val="2"/>
        <scheme val="minor"/>
      </rPr>
      <t>Step 2</t>
    </r>
    <r>
      <rPr>
        <sz val="11"/>
        <color theme="1"/>
        <rFont val="Calibri"/>
        <family val="2"/>
        <scheme val="minor"/>
      </rPr>
      <t xml:space="preserve"> - On the </t>
    </r>
    <r>
      <rPr>
        <i/>
        <sz val="11"/>
        <color theme="1"/>
        <rFont val="Calibri"/>
        <family val="2"/>
        <scheme val="minor"/>
      </rPr>
      <t>Targets</t>
    </r>
    <r>
      <rPr>
        <sz val="11"/>
        <color theme="1"/>
        <rFont val="Calibri"/>
        <family val="2"/>
        <scheme val="minor"/>
      </rPr>
      <t xml:space="preserve"> Worksheet, select the target level required for this assessment by pressing the radar button next to any of the six options available, which are:
  </t>
    </r>
    <r>
      <rPr>
        <b/>
        <i/>
        <sz val="11"/>
        <color theme="1"/>
        <rFont val="Calibri"/>
        <family val="2"/>
        <scheme val="minor"/>
      </rPr>
      <t>Introductory</t>
    </r>
    <r>
      <rPr>
        <sz val="11"/>
        <color theme="1"/>
        <rFont val="Calibri"/>
        <family val="2"/>
        <scheme val="minor"/>
      </rPr>
      <t xml:space="preserve"> - which sets a target of 2 out of 5 across the board
  </t>
    </r>
    <r>
      <rPr>
        <b/>
        <i/>
        <sz val="11"/>
        <color theme="1"/>
        <rFont val="Calibri"/>
        <family val="2"/>
        <scheme val="minor"/>
      </rPr>
      <t>Standard</t>
    </r>
    <r>
      <rPr>
        <sz val="11"/>
        <color theme="1"/>
        <rFont val="Calibri"/>
        <family val="2"/>
        <scheme val="minor"/>
      </rPr>
      <t xml:space="preserve"> - which sets a target of 2 out of 5 across the board
  </t>
    </r>
    <r>
      <rPr>
        <b/>
        <i/>
        <sz val="11"/>
        <color theme="1"/>
        <rFont val="Calibri"/>
        <family val="2"/>
        <scheme val="minor"/>
      </rPr>
      <t>Important</t>
    </r>
    <r>
      <rPr>
        <sz val="11"/>
        <color theme="1"/>
        <rFont val="Calibri"/>
        <family val="2"/>
        <scheme val="minor"/>
      </rPr>
      <t xml:space="preserve"> - which sets a target of 3 out of 5 across the board
  </t>
    </r>
    <r>
      <rPr>
        <b/>
        <i/>
        <sz val="11"/>
        <color theme="1"/>
        <rFont val="Calibri"/>
        <family val="2"/>
        <scheme val="minor"/>
      </rPr>
      <t>Very important</t>
    </r>
    <r>
      <rPr>
        <sz val="11"/>
        <color theme="1"/>
        <rFont val="Calibri"/>
        <family val="2"/>
        <scheme val="minor"/>
      </rPr>
      <t xml:space="preserve"> - which sets a target of 4 out of 5 across the board
  </t>
    </r>
    <r>
      <rPr>
        <b/>
        <i/>
        <sz val="11"/>
        <color theme="1"/>
        <rFont val="Calibri"/>
        <family val="2"/>
        <scheme val="minor"/>
      </rPr>
      <t>Critical</t>
    </r>
    <r>
      <rPr>
        <sz val="11"/>
        <color theme="1"/>
        <rFont val="Calibri"/>
        <family val="2"/>
        <scheme val="minor"/>
      </rPr>
      <t xml:space="preserve"> - which sets a target of 5 out of 5 across the board
  </t>
    </r>
    <r>
      <rPr>
        <b/>
        <i/>
        <sz val="11"/>
        <color theme="1"/>
        <rFont val="Calibri"/>
        <family val="2"/>
        <scheme val="minor"/>
      </rPr>
      <t>Custom</t>
    </r>
    <r>
      <rPr>
        <sz val="11"/>
        <color theme="1"/>
        <rFont val="Calibri"/>
        <family val="2"/>
        <scheme val="minor"/>
      </rPr>
      <t xml:space="preserve"> - which allows you to overwrite any of the individual settings in the </t>
    </r>
    <r>
      <rPr>
        <i/>
        <sz val="11"/>
        <color theme="1"/>
        <rFont val="Calibri"/>
        <family val="2"/>
        <scheme val="minor"/>
      </rPr>
      <t>Custom</t>
    </r>
    <r>
      <rPr>
        <sz val="11"/>
        <color theme="1"/>
        <rFont val="Calibri"/>
        <family val="2"/>
        <scheme val="minor"/>
      </rPr>
      <t xml:space="preserve"> column on the far right.
These target ratings will show up in all the </t>
    </r>
    <r>
      <rPr>
        <i/>
        <sz val="11"/>
        <color theme="1"/>
        <rFont val="Calibri"/>
        <family val="2"/>
        <scheme val="minor"/>
      </rPr>
      <t>Results</t>
    </r>
    <r>
      <rPr>
        <sz val="11"/>
        <color theme="1"/>
        <rFont val="Calibri"/>
        <family val="2"/>
        <scheme val="minor"/>
      </rPr>
      <t xml:space="preserve"> worksheets allowing you to compare actual performance against targets.</t>
    </r>
  </si>
  <si>
    <t>Very important</t>
  </si>
  <si>
    <t>Maturity score</t>
  </si>
  <si>
    <t>Preparation</t>
  </si>
  <si>
    <t>Maintain a technical security assurance framework</t>
  </si>
  <si>
    <t>Have you identified and recorded all main internal systems that support your organisation?</t>
  </si>
  <si>
    <t>Documentation about these systems would typically include: their level of criticality to the business; the sensitivity of any information they handle; any key dependencies; network diagrams, data flow and trust boundaries; details about important third party suppliers; IT infrastructure; and points of contact, roles and responsibilities.</t>
  </si>
  <si>
    <t>Do you apply different levels of security assurance for different systems based on their criticality or the sensitivity of the information they handle?</t>
  </si>
  <si>
    <t>Have you identified and categorised all main third party systems, processes and functions that support your organisation?</t>
  </si>
  <si>
    <t>Do you maintain an underlying technical security assurance framework?</t>
  </si>
  <si>
    <t>A technical security assurance framework would typically include: multiple environments for testing; a security architecture; an ongoing security monitoring services (e.g. in a SOC); an adequate range of technical security services; a balanced selection of preventative, detective and reactive security controls; and a road map or similar to provide a short, medium and long term outlook for security posture.</t>
  </si>
  <si>
    <t>Does your technical security assurance framework include testing: incident response processes; backups, to ensure that critical information and systems can be restored within critical timescales; incident response processes; and disaster recovery / fail-over processes?</t>
  </si>
  <si>
    <t>Is your technical security assurance framework supported by sufficient budget, skilled resources, processes, tools and technology; backed up by adequate management support and an IT or Cyber security risk management programme?</t>
  </si>
  <si>
    <t>An IT or Cyber security risk management programme would typically include: a documented risk management architecture and framework; a risk management strategy (including risk appetite); details of relevant legal, regulatory and contractual compliance requirements; a list of all main threats, a risk register showing exposure of key assets; and a method of assessing the effectiveness of technical security arrangements.</t>
  </si>
  <si>
    <t>Establish a penetration testing governance structure</t>
  </si>
  <si>
    <t>Have you established a suitable governance structure to oversee and coordinate a regular penetration testing programme?</t>
  </si>
  <si>
    <t>An effective governance structure for penetration testing would typically cover all main systems enterprise-wide, while focusing on the most critical, allowing for the protection of any sensitive information.</t>
  </si>
  <si>
    <t>Have you established a joint management and technical team to agree the programme and scope of regular penetration testing?</t>
  </si>
  <si>
    <t>An effective management and technical team would typically have direct access to senior management to raise significant concerns, supported by the ability and authority to contribute to a wider security improvement, providing adequate control over the penetration testing programme.</t>
  </si>
  <si>
    <t>Does your penetration testing programme include an approved: set of penetration testing processes and methodologies that apply enterprise-wide, supplier selection criteria, a penetration testing assurance management framework and a range of follow up activities to ensure that remediation activities are carried out in an effective manner, reducing the risk of vulnerabilities being exploited in the future?</t>
  </si>
  <si>
    <t>Is your penetration testing programme reviewed and approved by appropriate business and IT management, supported by stated objectives and timelines, and integrated in to your underlying technical security assurance framework?</t>
  </si>
  <si>
    <t>Does your penetration testing programme align with a wider security review framework, technical security infrastructure and system development processes (particularly for Web applications)?</t>
  </si>
  <si>
    <t>Do you have a change management process that enables the secure introduction of or changes to: business initiatives, business processes, web applications and IT infrastructure; legal and regulatory requirements; your threat landscape, security governance approach and security controls framework?</t>
  </si>
  <si>
    <t>To support your penetration testing programme, do you maintain key performance indicators for the results of the penetration tests, subscribe to information sharing platforms or services and use them to feed into the penetration testing programme?</t>
  </si>
  <si>
    <t>Are a series of actions taken to provide assurance about the suitability and effectiveness of your penetration testing programme?</t>
  </si>
  <si>
    <t>Evaluate drivers for conducting penetration tests</t>
  </si>
  <si>
    <t>Criteria for determining the drivers for penetration testing should include any growing requirement for compliance, the impact of serious cyber security attacks, any outsourcing services used, the introduction of new systems and services, significant changes to IT or the business and changes in the type or level of perceived threat.</t>
  </si>
  <si>
    <t>Are your drivers for carrying out penetration tests informed by findings from risk assessments, audits or reviews; analysis of security incidents; and lessons learnt from any previous penetration tests?</t>
  </si>
  <si>
    <t>Identify target environments</t>
  </si>
  <si>
    <t>Does your identification of the target environment consider system criticality; compliance requirements; major business or it services; critical systems under development; and outsourced services (e.g. cloud computing)?</t>
  </si>
  <si>
    <t>Does your identification of the target environment include a risk assessment of your organisation’s critical information and systems – and ensure that the testing planned will focus on the assets which pose the highest risk to your organisation?</t>
  </si>
  <si>
    <t>Consideration should be given to conducting penetration tests during the testing stage; implementation stage; and during live operation.</t>
  </si>
  <si>
    <t>If you are not permitted to test important systems / environments controlled by third parties, you should gain assurances that appropriate penetration tests are regularly carried out; tests are conducted by suitably qualified staff working for a certified organisation; and recommendations from the tests are acted upon.</t>
  </si>
  <si>
    <t>Produce requirements specifications</t>
  </si>
  <si>
    <t>Do you appoint suitable third party suppliers to undertake independent penetration testing, based on defined requirements?</t>
  </si>
  <si>
    <t>Effective requirements for penetration testing suppliers are typically based on a cost / benefit analysis, driven by clear objectives, recorded in a requirements specification and integrated into an organisation’s procurement process.</t>
  </si>
  <si>
    <t>Do you evaluate the benefits of using external suppliers?</t>
  </si>
  <si>
    <t>Do you define selection criteria to help you choose suitable suppliers?</t>
  </si>
  <si>
    <t>Does your selection criteria consider if potential suppliers can provide: solid reputation, history and ethics; high quality, value-for-money services; research and development capability; highly competent, technical testers; and security and risk management, supported by a strong professional accreditation and complaint process?</t>
  </si>
  <si>
    <t>Do you ensure that your chosen suppliers are able to effectively meet – or exceed - your supplier selection criteria and provide tangible value for money?</t>
  </si>
  <si>
    <t>Do you validate the ability of potential suppliers to meet your specific requirements (not just one who can offer a variety of often impressive products and services, some of which may not necessarily be relevant)?</t>
  </si>
  <si>
    <t>Do you go through a formal, approved appointment process for selected penetration testing suppliers?</t>
  </si>
  <si>
    <t>Testing</t>
  </si>
  <si>
    <t>Agree testing style and type</t>
  </si>
  <si>
    <t>Does your identification of testing types consider Web application testing, Infrastructure testing and Specialised penetration testing, such as for mobile, client server or cloud-based applications</t>
  </si>
  <si>
    <t>Have you determined how you will make sure that all parties adhere to testing constraints?</t>
  </si>
  <si>
    <t>Produce scope statements</t>
  </si>
  <si>
    <t>Is the scope of penetration tests recorded in a formal document, such as a scope statement, that is signed-off by all relevant parties?</t>
  </si>
  <si>
    <t>Are you aware that responsibility for the actual systems and data during penetration testing – and any assurance about them - rests with your organisation?</t>
  </si>
  <si>
    <t>Have you created a documented management assurance framework to help manage all aspects of penetration tests?</t>
  </si>
  <si>
    <t>Does your management assurance framework provide assurance to stakeholders that changes to the scope of tests – and any problems arising - are well managed?</t>
  </si>
  <si>
    <t>Implement management control processes</t>
  </si>
  <si>
    <t>Have you developed methods of keeping risks to your organisation to a minimum?</t>
  </si>
  <si>
    <t>When conducting penetration tests do you use a systematic, structured testing methodology?</t>
  </si>
  <si>
    <t>Conduct sufficient research and planning</t>
  </si>
  <si>
    <t>Are detailed, agreed test plans produced to provide guidelines for the penetration testing to be undertaken?</t>
  </si>
  <si>
    <t>Do test plans specify what will actually be done during the test itself and help to assure the process for a proper security test without creating misunderstandings, misconceptions, or false expectations?</t>
  </si>
  <si>
    <t>Do penetration tests include carrying out sufficient research to imitate the research activities that a potential attacker could undertake to find out as much about the target environment and how it works as possible?</t>
  </si>
  <si>
    <t>Identify and exploit vulnerabilities</t>
  </si>
  <si>
    <t>Do penetration tests identify a range of potential vulnerabilities in target systems?</t>
  </si>
  <si>
    <t>Exploitation techniques include: specific Exploit techniques (e.g. for web applications); Escalation techniques, gaining further access within a target, once an initial level of access has been obtained; advancement techniques, attempting to move on from the compromised target to find other vulnerable systems; and analysis techniques, verifying the raw data to ensure that the test has been thorough and comprehensive.</t>
  </si>
  <si>
    <t>Report key findings</t>
  </si>
  <si>
    <t>Are findings identified during the penetration test reported to your organisation in both technical terms that can be acted upon and non-technical, business context, so that the justifications for the corrective actions are understood; as well as in a formal report?</t>
  </si>
  <si>
    <t>Are penetration testing reports disseminated to relevant staff - and acted upon?</t>
  </si>
  <si>
    <t>Follow up</t>
  </si>
  <si>
    <t>Remediate weaknesses</t>
  </si>
  <si>
    <t>Do follow-up activities include remediating weaknesses identified in penetration testing?</t>
  </si>
  <si>
    <t>Are weaknesses remediated in line with a comprehensive, approved remediation process?</t>
  </si>
  <si>
    <t>An effective remediation process should include addressing all issues; applying immediate or short terms solutions (e.g. patching systems, closing ports and preventing traffic from particular web sites or IP addresses), replicating results of penetration tests, determining which weaknesses to address first (e.g. based on risk ratings for critical assets), and reporting weaknesses to relevant third party organisations.</t>
  </si>
  <si>
    <t>Root cause analysis should include: identifying the real root causes of exposures; evaluating potential business impact; identifying more endemic or fundamental root causes; qualified, experienced security professionals to help define corrective action strategy and plans.</t>
  </si>
  <si>
    <t>The improvement programme should address root causes of weakness; evaluate penetration testing effectiveness; identify lessons learned; apply good practice enterprise-wide; create and monitor action plans; and agree approaches for future testing.</t>
  </si>
  <si>
    <t>Does evaluation of test effectiveness cover the full range of required actions?</t>
  </si>
  <si>
    <t>Build on lessons learned</t>
  </si>
  <si>
    <t>Does your penetration testing approach include identifying lessons learned, disseminating them to relevant stakeholders and acting on them?</t>
  </si>
  <si>
    <t>When addressing the weaknesses identified in an environment, are good practices identified (including fixes) and then applied to a wide range of other environments?</t>
  </si>
  <si>
    <t>Are good practices rolled out by:  performing trend analysis across multiple systems; applying lessons learnt during a penetration test of one application to similar applications; and fixing root causes endemically?</t>
  </si>
  <si>
    <t>Are action plans created to help act upon follow-up activities undertaken?</t>
  </si>
  <si>
    <t>Target level configuration</t>
  </si>
  <si>
    <t>Maturity level (1 to 5)</t>
  </si>
  <si>
    <t>level</t>
  </si>
  <si>
    <t>Many organisations are extremely concerned about potential and actual cyber security attacks, both on their own organisations and in ones similar to them. Many of these attacks exploit weaknesses in an organisations applications and underlying infrastructure. To help identify these vulnerabilities effectively - and address them effectively - many organisations carry out penetration testing. However, establishing and managing a  penetration testing programme can be a very difficult task, even for the most advanced organisations. Each organisation should therefore develop an appropriate  penetration testing programme which will enable them to adopt a systematic, structured approach to undertaking  penetration testing.</t>
  </si>
  <si>
    <t xml:space="preserve">Your penetration testing programme should consist of appropriately skilled people guided by well-designed, repeatable programmes and effective use of relevant technologies that will enable you to conduct thorough penetration tests, successfully identifying and addressing vulnerabilities - and to prevent new ones from occurring. </t>
  </si>
  <si>
    <t>Many organisations do not know how effective their penetration testing programme is in practice. One of the best ways to help determine the effectiveness of your programme is to measure the level of maturity of your penetration testing programme in terms of:</t>
  </si>
  <si>
    <t>• Requirements, testing and follow up</t>
  </si>
  <si>
    <r>
      <rPr>
        <i/>
        <sz val="11"/>
        <color theme="1"/>
        <rFont val="Calibri"/>
        <family val="2"/>
        <scheme val="minor"/>
      </rPr>
      <t>Note:</t>
    </r>
    <r>
      <rPr>
        <sz val="11"/>
        <color theme="1"/>
        <rFont val="Calibri"/>
        <family val="2"/>
        <scheme val="minor"/>
      </rPr>
      <t xml:space="preserve"> There two other </t>
    </r>
    <r>
      <rPr>
        <i/>
        <sz val="11"/>
        <color theme="1"/>
        <rFont val="Calibri"/>
        <family val="2"/>
        <scheme val="minor"/>
      </rPr>
      <t>Penetration Testing Maturity Assessment Tools</t>
    </r>
    <r>
      <rPr>
        <sz val="11"/>
        <color theme="1"/>
        <rFont val="Calibri"/>
        <family val="2"/>
        <scheme val="minor"/>
      </rPr>
      <t xml:space="preserve"> available, which are the:</t>
    </r>
  </si>
  <si>
    <t>• Summary assessment tool (no macros), which allows an assessment to be made to determine the level of maturity of your penetration testing programme at a high level.</t>
  </si>
  <si>
    <t>The assessment tool has been developed in conjunction with representatives from a broad range of organisations, including industry bodies, consumer organisations, the UK government and suppliers of expert technical security services. It provides you with an assessment against a maturity model that is based on the 15 steps within the 3 phase penetration testing management programme presented in the CREST Penetration Testing Management Guide, as shown in the diagram below.</t>
  </si>
  <si>
    <t>To carry out penetration testing effectively you will need to build an appropriate penetration testing programme the maturity of which can be assessed against an appropriate maturity model by using this assessment tool.</t>
  </si>
  <si>
    <t xml:space="preserve">Different types of organisation will require different levels of maturity for their penetration testing programme. For example, a small company operating in the retail business will not have the same requirement – or ability – to carry out  penetration tests in the same way as a major corporate organisation in the finance sector – or a government department. </t>
  </si>
  <si>
    <r>
      <rPr>
        <i/>
        <sz val="11"/>
        <color theme="1"/>
        <rFont val="Calibri"/>
        <family val="2"/>
        <scheme val="minor"/>
      </rPr>
      <t xml:space="preserve">Note: </t>
    </r>
    <r>
      <rPr>
        <sz val="11"/>
        <color theme="1"/>
        <rFont val="Calibri"/>
        <family val="2"/>
        <scheme val="minor"/>
      </rPr>
      <t>The maturity of the  penetration testing programme can play a significant role in determining the level of third-party involvement required to conduct independent  penetration testing. Organisations with a mature penetration testing programme may manage most of their operations in-house, while those who are less mature may depend entirely on third parties.</t>
    </r>
  </si>
  <si>
    <t>This tool allows an assessment to be made to determine the level of maturity of an organisations’ penetration testing programme at a high level. It is based on a simple selection of the level of maturity for each of the 15 steps.</t>
  </si>
  <si>
    <t>The maturity model used in this tool is based on a traditional, proven model shown below. This model can be used to determine the level of maturity of your penetration testing programme at an intermediate, fairly detailed level, ranging from 1 (least effective) to 5 (most effective).</t>
  </si>
  <si>
    <t>This assessment tool (which does not use macros) provides a mechanism for carrying out an assessment of the level of maturity an organisation has for their penetration testing programme at an intermediate, fairly detailed,   level. It can be used to assess the effectiveness of your penetration testing programme.</t>
  </si>
  <si>
    <r>
      <rPr>
        <b/>
        <i/>
        <sz val="11"/>
        <color theme="1"/>
        <rFont val="Calibri"/>
        <family val="2"/>
        <scheme val="minor"/>
      </rPr>
      <t>Note:</t>
    </r>
    <r>
      <rPr>
        <sz val="11"/>
        <color theme="1"/>
        <rFont val="Calibri"/>
        <family val="2"/>
        <scheme val="minor"/>
      </rPr>
      <t xml:space="preserve"> The penetration testing maturity assessment tool is one of a series of assessment tools developed by CREST, which include high level and detailed Cyber Security Incident Response Assessment Tools.</t>
    </r>
  </si>
  <si>
    <t>The potential scoping difficulties involved with carrying out penetration testing can include: determining the depth and breadth of coverage of the test; identifying the style, type, targets and frequency of tests; managing risks associated with potential system failure and exposure of sensitive data; and remediating system vulnerabilities effectively.</t>
  </si>
  <si>
    <t>Effective supplier selection criteria typically specify that potential suppliers should be able to: provide a reliable, effective and proven penetration testing service; meet compliance standards; protect your information and systems both during and after testing; perform rigorous and effective penetration tests; adhere to a proven testing methodology; carry out a full range of testing, discover all major vulnerabilities, identifying associated ‘root causes’; produce insightful, practical and easy to read reports; provide on-going advice on how to manage systems effectively over time as part of a trusted relationship.</t>
  </si>
  <si>
    <t>Methods of dealing with time constraints can include Investing more time in testing critical systems; providing testers with as much background information as possible; and conducting penetration testing on a regular basis, rather than as a one-off exercise.</t>
  </si>
  <si>
    <t>Methods of dealing with this type of testing constraint can include adopting a ‘risk to cost balance’ when performing tests and doing more than simply fixing vulnerabilities uncovered during testing as this could leave a number of other vulnerabilities present for an attacker to find.</t>
  </si>
  <si>
    <t>Resourcing requirements should specify who will be leading the testing engagement, the names of testers that will be used for the testing engagement (with details about their roles, skills, experience, qualifications and backgrounds) and the number of days required (including the days on which testing will take place) – and require a disclaimer stating that they are legally authorised to carry out specified activity on your property and systems.</t>
  </si>
  <si>
    <t>You can help to reduce risk associated with penetration testing by carrying out planning in advance; having a clear definition of scope; using predefined escalation procedures; supported by qualified testing individuals and certified organisations.</t>
  </si>
  <si>
    <t>Test plans should be produced by your testing service provider and agreed with your organisation prior to any testing commencing.</t>
  </si>
  <si>
    <t>An effective change management process should cover changes to the scope of the penetration test, organisational controls and the individuals on the testing team; as well as ensuring that all parties involved adhere to the process and that changes to penetration testing are made quickly and efficiently.</t>
  </si>
  <si>
    <t>Is your penetration testing supported by an effective problem resolution process?</t>
  </si>
  <si>
    <r>
      <rPr>
        <b/>
        <i/>
        <sz val="11"/>
        <color theme="1"/>
        <rFont val="Calibri"/>
        <family val="2"/>
        <scheme val="minor"/>
      </rPr>
      <t>Step 3</t>
    </r>
    <r>
      <rPr>
        <sz val="11"/>
        <color theme="1"/>
        <rFont val="Calibri"/>
        <family val="2"/>
        <scheme val="minor"/>
      </rPr>
      <t xml:space="preserve"> -  A standard set of default weightings have been set by the project Team at CREST and should typically be used to enable effective and consistent comparisons to be made. However, on the </t>
    </r>
    <r>
      <rPr>
        <i/>
        <sz val="11"/>
        <color theme="1"/>
        <rFont val="Calibri"/>
        <family val="2"/>
        <scheme val="minor"/>
      </rPr>
      <t>Weightings</t>
    </r>
    <r>
      <rPr>
        <sz val="11"/>
        <color theme="1"/>
        <rFont val="Calibri"/>
        <family val="2"/>
        <scheme val="minor"/>
      </rPr>
      <t xml:space="preserve"> worksheet, you can overwrite the weighting values for any particular question. If you are configuring the tool for a respondent and do not want these weightings to be changed, use the</t>
    </r>
    <r>
      <rPr>
        <i/>
        <sz val="11"/>
        <color theme="1"/>
        <rFont val="Calibri"/>
        <family val="2"/>
        <scheme val="minor"/>
      </rPr>
      <t xml:space="preserve"> Lock weighting </t>
    </r>
    <r>
      <rPr>
        <sz val="11"/>
        <color theme="1"/>
        <rFont val="Calibri"/>
        <family val="2"/>
        <scheme val="minor"/>
      </rPr>
      <t xml:space="preserve">button if appropriate, and then hide the </t>
    </r>
    <r>
      <rPr>
        <i/>
        <sz val="11"/>
        <color theme="1"/>
        <rFont val="Calibri"/>
        <family val="2"/>
        <scheme val="minor"/>
      </rPr>
      <t>Weightings</t>
    </r>
    <r>
      <rPr>
        <sz val="11"/>
        <color theme="1"/>
        <rFont val="Calibri"/>
        <family val="2"/>
        <scheme val="minor"/>
      </rPr>
      <t xml:space="preserve"> worksheet by right-clicking on the relevant tab at the bottom of this spreadsheet and choosing Hide. </t>
    </r>
  </si>
  <si>
    <r>
      <rPr>
        <b/>
        <i/>
        <sz val="11"/>
        <color theme="1"/>
        <rFont val="Calibri"/>
        <family val="2"/>
        <scheme val="minor"/>
      </rPr>
      <t>Step 4 -</t>
    </r>
    <r>
      <rPr>
        <sz val="11"/>
        <color theme="1"/>
        <rFont val="Calibri"/>
        <family val="2"/>
        <scheme val="minor"/>
      </rPr>
      <t xml:space="preserve"> Carry out the assessment by selecting the appropriate level of maturity within the assessed environment for each step using the drop-down lists on the 3 A</t>
    </r>
    <r>
      <rPr>
        <i/>
        <sz val="11"/>
        <color theme="1"/>
        <rFont val="Calibri"/>
        <family val="2"/>
        <scheme val="minor"/>
      </rPr>
      <t>ssessment</t>
    </r>
    <r>
      <rPr>
        <sz val="11"/>
        <color theme="1"/>
        <rFont val="Calibri"/>
        <family val="2"/>
        <scheme val="minor"/>
      </rPr>
      <t xml:space="preserve"> worksheets, together with any supporting evidence. Any additional comments can be entered in the </t>
    </r>
    <r>
      <rPr>
        <i/>
        <sz val="11"/>
        <color theme="1"/>
        <rFont val="Calibri"/>
        <family val="2"/>
        <scheme val="minor"/>
      </rPr>
      <t>Comments</t>
    </r>
    <r>
      <rPr>
        <sz val="11"/>
        <color theme="1"/>
        <rFont val="Calibri"/>
        <family val="2"/>
        <scheme val="minor"/>
      </rPr>
      <t xml:space="preserve"> column.</t>
    </r>
  </si>
  <si>
    <r>
      <rPr>
        <b/>
        <i/>
        <sz val="11"/>
        <color theme="1"/>
        <rFont val="Calibri"/>
        <family val="2"/>
        <scheme val="minor"/>
      </rPr>
      <t>Step 5 -</t>
    </r>
    <r>
      <rPr>
        <sz val="11"/>
        <color theme="1"/>
        <rFont val="Calibri"/>
        <family val="2"/>
        <scheme val="minor"/>
      </rPr>
      <t xml:space="preserve"> Review a summary of the results using the</t>
    </r>
    <r>
      <rPr>
        <i/>
        <sz val="11"/>
        <color theme="1"/>
        <rFont val="Calibri"/>
        <family val="2"/>
        <scheme val="minor"/>
      </rPr>
      <t xml:space="preserve"> Aggregated Results</t>
    </r>
    <r>
      <rPr>
        <sz val="11"/>
        <color theme="1"/>
        <rFont val="Calibri"/>
        <family val="2"/>
        <scheme val="minor"/>
      </rPr>
      <t xml:space="preserve"> worksheet to gain a high level picture of the overall level of maturity for the environment assessed.</t>
    </r>
  </si>
  <si>
    <t>A well-defined penetration tests should help your organisation to identify weaknesses in your security controls; reduce the frequency and impact of security incidents; comply with legal and regulatory requirements; provide assurance to third parties that business applications can be trusted and that customer data is adequately protected; and limit liabilities if things go wrong, or if there is a court case (i.e. take ‘reasonable’ precautions).</t>
  </si>
  <si>
    <t>Does your management assurance framework provide assurance to stakeholders that the objectives of penetration tests are achieved (i.e. business requirements are met)?</t>
  </si>
  <si>
    <t>Does your penetration testing methodology detail specific evaluation or testing criteria and adhere to a standard common language and scope for performing penetration testing (i.e. security evaluations)?</t>
  </si>
  <si>
    <t>Do tests include reviewing vulnerabilities identified by third parties, such as the ‘OWASP Top Ten’, which presents a list of common security vulnerabilities found in web applications (i.e. injection attacks, cross-site scripting and failure to restrict URL access)?</t>
  </si>
  <si>
    <t>When evaluating the benefits of using external suppliers, you should consider their ability to help you: deploy a structured process and plan, developed by experts; increase the scope and frequency of tests; conduct short term engagements, eliminating the need to employ your own specialised (and often expensive) staff; and take advantage of automation (e.g. by using penetration testing workflows and importing vulnerability management reports).</t>
  </si>
  <si>
    <t>Does your identification of testing types consider the use of an internal security test; end-to-end testing (i.e. for people, through data, devices, applications and infrastructure); emerging technologies (e.g. mobile applications); and social engineering?</t>
  </si>
  <si>
    <t>The definition of the target environment should include: which systems are in and out of scope; the testing approach being adopted (e.g. black, white or grey box); types of test that are prohibited (e.g. ‘denial of service’ type testing); where the testing team will need to be in order to conduct the testing (e.g. on the customer’s site or at the test service provider’s premises); and approvals required for various elements of the testing to go ahead.</t>
  </si>
  <si>
    <t>The definition of liabilities in the scope statement should specify the steps required by both parties should problems (e.g. slippage) arise and the details of liability (indemnity) insurance to be held by the testing service provider.</t>
  </si>
  <si>
    <t>Follow-up activities should include presentation of key findings and recommendations to senior management and any re-testing needed once mitigations have been made for the discovered vulnerabilities’ required by both parties should problems (e.g. slippage) arise.</t>
  </si>
  <si>
    <t>The management assurance framework should provide assurance to stakeholders that contracts with service providers are defined, agreed, signed off and monitored and risks to your organisation (e.g. degradation or loss of services; disclosure of sensitive information) are kept to a minimum.</t>
  </si>
  <si>
    <t>The management assurance framework should provide assurance to stakeholders that any changes to the scope of penetration tests (e.g. additional testing requested, such as to include wireless or device testing) or to organisational controls (e.g. to address a critical weakness uncovered during testing) are managed quickly and efficiently; and that any problems (or complaints) arising during tests (e.g. due to resources not being made available, tests not working as planned or an ethical breach) are satisfactorily resolved.</t>
  </si>
  <si>
    <t>Penetration testing contracts should specify explicit exclusions (e.g. systems that are out of scope); any technical and operational constraints; roles and responsibilities for all parties’ concerned; and specific legal, regulatory and operational requirements (e.g., timings and checkpoints; a problem escalation process and post-test corrective action strategy).</t>
  </si>
  <si>
    <t>Is your organisation aware that performing any sort of penetration test carries with it some risk to the target system and the business information associated with it (e.g. degradation or loss of services; disclosure of sensitive information)?</t>
  </si>
  <si>
    <t>An effective problem resolution process should cover tests not working as planned and resources not being made available; as well as problems caused as a result of the penetration testing, which can include: interruptions to or degradation of live systems; unauthorised disclosure of confidential information; and compromise of the integrity of information (e.g. affecting the accuracy or timeliness of information).
The problem resolution process should also include breaches of: contract; specifications in the scope statement; and a relevant code of conduct.</t>
  </si>
  <si>
    <t>Does vulnerability identification include testers examining: attack avenues, vectors and threat agents (e.g. using attack trees); results from threat analysis; technical system / network / application vulnerabilities; and control weaknesses</t>
  </si>
  <si>
    <t>Do tests include identifying the cause of any vulnerabilities discovered, for example resulting from a lack of understanding of IT security issues (e.g. by web developers and users of mobile devices)?</t>
  </si>
  <si>
    <t>Do testers use a range of techniques (e.g. exploitation frameworks, stand-alone exploits, and other tactics) to try and take advantage of specific weaknesses?</t>
  </si>
  <si>
    <t>On completion of penetration tests, is an improvement programme initiated?</t>
  </si>
  <si>
    <t>Do you define the purpose of penetration tests, and assess how these tests can help your organisation?</t>
  </si>
  <si>
    <t>Do you determine what penetration testing will help you to achieve (i.e. the benefits)?</t>
  </si>
  <si>
    <t>When evaluating the scoping limitations of penetration testing you should take into account that a test covers just the target environment that has been selected; is only a snapshot of a system at a point in time; and plays only a small part in an organisation’s defence system.</t>
  </si>
  <si>
    <t>The potential resourcing difficulties in carrying out penetration testing can include: understanding the costs of external services (and in determining the true overall cost of testing); and finding a suitable penetration testing expert when required (e.g. at short notice).</t>
  </si>
  <si>
    <t>Methods of dealing with technical testing constraints can include Implementing policy exceptions; allowing for vulnerabilities that will not be discovered if the testing is undertaken from outside your network; adopting a practical scope that will meet your requirements; and ensuring that the test simulation comes very close to replicating a real malicious attack.</t>
  </si>
  <si>
    <t>Relevant parties (i.e. named individuals or groups) required to sign-off the scope statement should include authorised and suitably qualified individuals from all relevant parties; plus relevant, qualified individuals dependent on the value of the system being tested (or similar).</t>
  </si>
  <si>
    <t>Relevant information should include data: obtained from public sources of information, such as the Internet; through information sharing networks (e.g. CERTs); and via authorised social engineering sources.</t>
  </si>
  <si>
    <t>Network enumeration / scanning should include identifying the potential points of access being offered by a target by scanning for open services on targets and establishing the existence of possible user identification credentials.</t>
  </si>
  <si>
    <t>Reconnaissance should include collating and analysing information about the target obtaining positive confirmation of information about the target (e.g. to confirm that system configuration and security controls are as expected).</t>
  </si>
  <si>
    <t>Appropriate assurance actions would typically include traceability and monitoring of the programme, a continuous improvement process, and independent audits (or similar).</t>
  </si>
  <si>
    <t>Does your identification of the target environment take into account business processes; web applications; key parts of IT infrastructure and specialised equipment (e.g. mobile devices and process control systems)?</t>
  </si>
  <si>
    <t>Does your identification of the target environment take into account significant changes to critical business processes, business applications, IT infrastructure and business environments (e.g. in particular business units or jurisdictions)?</t>
  </si>
  <si>
    <t>Please select</t>
  </si>
  <si>
    <t>Select suitable suppliers</t>
  </si>
  <si>
    <t>• Detailed assessment tool (no macros), which allows a more detailed assessment to be made to determine the level of maturity of your penetration testing programme at a detailed level.</t>
  </si>
  <si>
    <t>detail_maturity_score</t>
  </si>
  <si>
    <t>level_ref</t>
  </si>
  <si>
    <t>=Weightings!$R$4:$V$6</t>
  </si>
  <si>
    <t>maturity_response_frame</t>
  </si>
  <si>
    <t>MaturityLevelsTable</t>
  </si>
  <si>
    <t>profile_business_unit</t>
  </si>
  <si>
    <t>='Profile and Scope'!$F$14</t>
  </si>
  <si>
    <t>profile_date_of_assessment</t>
  </si>
  <si>
    <t>='Profile and Scope'!$F$26</t>
  </si>
  <si>
    <t>profile_internal_pt_coordinator</t>
  </si>
  <si>
    <t>='Profile and Scope'!$F$8</t>
  </si>
  <si>
    <t>profile_name_of_organisation</t>
  </si>
  <si>
    <t>='Profile and Scope'!$F$5</t>
  </si>
  <si>
    <t>profile_pt_coordinator_role_or_position</t>
  </si>
  <si>
    <t>='Profile and Scope'!$F$11</t>
  </si>
  <si>
    <t>profile_sector</t>
  </si>
  <si>
    <t>='Profile and Scope'!$J$17</t>
  </si>
  <si>
    <t>profile_size_of_business</t>
  </si>
  <si>
    <t>='Profile and Scope'!$J$20</t>
  </si>
  <si>
    <t>profile_type_of_business</t>
  </si>
  <si>
    <t>='Profile and Scope'!$J$23</t>
  </si>
  <si>
    <t>sector_responses</t>
  </si>
  <si>
    <t>size_of_business_responses</t>
  </si>
  <si>
    <t>type_of_business_responses</t>
  </si>
  <si>
    <t>weighting_response_reverse</t>
  </si>
  <si>
    <t>weighting_responses</t>
  </si>
  <si>
    <t>MMAT_Results</t>
  </si>
  <si>
    <t>MMAT_Text_Ref</t>
  </si>
  <si>
    <t>MMAT_Header_Text</t>
  </si>
  <si>
    <t>Assess_A_Reference</t>
  </si>
  <si>
    <t>=OFFSET('Assess A'!$A$8,0,0,COUNTA('Assess A'!$A:$A),40)</t>
  </si>
  <si>
    <t>Assess_A_Reference_2</t>
  </si>
  <si>
    <t>='Assess A'!$B$8:$AZ$1000</t>
  </si>
  <si>
    <t>Assess_B_Reference</t>
  </si>
  <si>
    <t>=OFFSET('Assess B'!$A$8,0,0,COUNTA('Assess B'!$A:$A),40)</t>
  </si>
  <si>
    <t>Assess_B_Reference_2</t>
  </si>
  <si>
    <t>='Assess B'!$B$8:$AZ$1000</t>
  </si>
  <si>
    <t>Assess_C_Reference</t>
  </si>
  <si>
    <t>=OFFSET('Assess C'!$A$8,0,0,COUNTA('Assess C'!$A:$A),40)</t>
  </si>
  <si>
    <t>Assess_C_Reference_2</t>
  </si>
  <si>
    <t>='Assess C'!$B$8:$AZ$1000</t>
  </si>
  <si>
    <t>=Content!$W$2:$X$7</t>
  </si>
  <si>
    <t>=OFFSET('MMAT Ref'!$A$2,0,0,COUNTA('MMAT Ref'!$A:$A),6)</t>
  </si>
  <si>
    <t>=OFFSET('MMAT Ref'!$Q$2,0,0,COUNTA('MMAT Ref'!$Q:$Q)-1,3)</t>
  </si>
  <si>
    <t>=OFFSET('MMAT Ref'!$AB$2,0,0,COUNTA('MMAT Ref'!$AB:$AB),3)</t>
  </si>
  <si>
    <t>Tool_Name</t>
  </si>
  <si>
    <t>=Introduction!$D$2</t>
  </si>
  <si>
    <t>Contents_Text</t>
  </si>
  <si>
    <t>Results_A_Reference</t>
  </si>
  <si>
    <t>='Results A'!$B$8:$Z$1000</t>
  </si>
  <si>
    <t>Results_B_Reference</t>
  </si>
  <si>
    <t>='Results B'!$B$8:$Z$1000</t>
  </si>
  <si>
    <t>Results_C_Reference</t>
  </si>
  <si>
    <t>='Results C'!$B$8:$Z$1000</t>
  </si>
  <si>
    <t>Weightings_Assessments</t>
  </si>
  <si>
    <t>=OFFSET(Weightings!$A$8,0,0,COUNTA(Weightings!$A:$A),26)</t>
  </si>
  <si>
    <t>Aggregated_Maturity_Levels</t>
  </si>
  <si>
    <t>=OFFSET('Aggregated Results'!$B$4,0,0,COUNTA('Aggregated Results'!$B:$B),8)</t>
  </si>
  <si>
    <t>=OFFSET('Aggregated Results'!$AA$4,0,0,COUNTA('Aggregated Results'!$AA:$AA),13)</t>
  </si>
  <si>
    <t>=OFFSET(Content!$A$3,0,0,COUNTA(Content!$A:$A)-2,15)</t>
  </si>
  <si>
    <t>Contents_Headings</t>
  </si>
  <si>
    <t>Targets_Lookup</t>
  </si>
  <si>
    <t>=OFFSET(Targets!$B$4,0,0,COUNTA(Targets!$B:$B)-1,5)</t>
  </si>
  <si>
    <t>=References!$F$4:$H$11</t>
  </si>
  <si>
    <t>=References!$G$4:$G$11</t>
  </si>
  <si>
    <t>=References!$J$4:$J$30</t>
  </si>
  <si>
    <t>=References!$L$4:$L$8</t>
  </si>
  <si>
    <t>=References!$N$4:$N$9</t>
  </si>
  <si>
    <t>=References!$R$4:$S$8</t>
  </si>
  <si>
    <t>=References!$P$4:$P$8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</si>
</sst>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
    <numFmt numFmtId="166" formatCode="yyyy\-mm\-dd;@"/>
  </numFmts>
  <fonts count="40" x14ac:knownFonts="1">
    <font>
      <sz val="11"/>
      <color theme="1"/>
      <name val="Calibri"/>
      <family val="2"/>
      <scheme val="minor"/>
    </font>
    <font>
      <sz val="10"/>
      <name val="Arial"/>
      <family val="2"/>
    </font>
    <font>
      <sz val="10"/>
      <name val="Calibri"/>
      <family val="2"/>
      <scheme val="minor"/>
    </font>
    <font>
      <b/>
      <sz val="14"/>
      <name val="Calibri"/>
      <family val="2"/>
      <scheme val="minor"/>
    </font>
    <font>
      <sz val="12"/>
      <name val="Calibri"/>
      <family val="2"/>
      <scheme val="minor"/>
    </font>
    <font>
      <i/>
      <sz val="10"/>
      <name val="Calibri"/>
      <family val="2"/>
      <scheme val="minor"/>
    </font>
    <font>
      <sz val="10"/>
      <name val="Verdana"/>
      <family val="2"/>
    </font>
    <font>
      <b/>
      <sz val="10"/>
      <name val="Calibri"/>
      <family val="2"/>
      <scheme val="minor"/>
    </font>
    <font>
      <b/>
      <sz val="11"/>
      <color theme="1"/>
      <name val="Calibri"/>
      <family val="2"/>
      <scheme val="minor"/>
    </font>
    <font>
      <sz val="11"/>
      <color theme="0"/>
      <name val="Calibri"/>
      <family val="2"/>
      <scheme val="minor"/>
    </font>
    <font>
      <b/>
      <sz val="15"/>
      <color theme="3"/>
      <name val="Calibri"/>
      <family val="2"/>
      <scheme val="minor"/>
    </font>
    <font>
      <b/>
      <sz val="13"/>
      <color theme="3"/>
      <name val="Calibri"/>
      <family val="2"/>
      <scheme val="minor"/>
    </font>
    <font>
      <b/>
      <u/>
      <sz val="15"/>
      <color theme="3"/>
      <name val="Calibri"/>
      <family val="2"/>
      <scheme val="minor"/>
    </font>
    <font>
      <sz val="20"/>
      <color theme="3"/>
      <name val="Calibri"/>
      <family val="2"/>
      <scheme val="minor"/>
    </font>
    <font>
      <sz val="11"/>
      <name val="Calibri"/>
      <family val="2"/>
      <scheme val="minor"/>
    </font>
    <font>
      <b/>
      <sz val="14"/>
      <color theme="0"/>
      <name val="Calibri"/>
      <family val="2"/>
      <scheme val="minor"/>
    </font>
    <font>
      <sz val="25"/>
      <color rgb="FF1F497D"/>
      <name val="Calibri"/>
      <family val="2"/>
      <scheme val="minor"/>
    </font>
    <font>
      <sz val="20"/>
      <color theme="0"/>
      <name val="Calibri"/>
      <family val="2"/>
      <scheme val="minor"/>
    </font>
    <font>
      <b/>
      <sz val="12"/>
      <color theme="1"/>
      <name val="Calibri"/>
      <family val="2"/>
      <scheme val="minor"/>
    </font>
    <font>
      <sz val="14"/>
      <name val="Calibri"/>
      <family val="2"/>
      <scheme val="minor"/>
    </font>
    <font>
      <sz val="18"/>
      <color theme="0"/>
      <name val="Calibri"/>
      <family val="2"/>
      <scheme val="minor"/>
    </font>
    <font>
      <b/>
      <sz val="16"/>
      <color theme="0"/>
      <name val="Calibri"/>
      <family val="2"/>
      <scheme val="minor"/>
    </font>
    <font>
      <sz val="14"/>
      <color theme="0"/>
      <name val="Calibri"/>
      <family val="2"/>
      <scheme val="minor"/>
    </font>
    <font>
      <b/>
      <sz val="14"/>
      <color rgb="FFFF0000"/>
      <name val="Calibri"/>
      <family val="2"/>
      <scheme val="minor"/>
    </font>
    <font>
      <sz val="15"/>
      <color theme="1"/>
      <name val="Calibri"/>
      <family val="2"/>
      <scheme val="minor"/>
    </font>
    <font>
      <sz val="14"/>
      <color theme="1"/>
      <name val="Calibri"/>
      <family val="2"/>
      <scheme val="minor"/>
    </font>
    <font>
      <b/>
      <sz val="11"/>
      <color theme="3"/>
      <name val="Calibri"/>
      <family val="2"/>
      <scheme val="minor"/>
    </font>
    <font>
      <b/>
      <sz val="11"/>
      <color rgb="FFFF0000"/>
      <name val="Calibri"/>
      <family val="2"/>
      <scheme val="minor"/>
    </font>
    <font>
      <b/>
      <sz val="11"/>
      <color rgb="FF00B050"/>
      <name val="Calibri"/>
      <family val="2"/>
      <scheme val="minor"/>
    </font>
    <font>
      <i/>
      <sz val="11"/>
      <color theme="1"/>
      <name val="Calibri"/>
      <family val="2"/>
      <scheme val="minor"/>
    </font>
    <font>
      <b/>
      <i/>
      <sz val="11"/>
      <color theme="1"/>
      <name val="Calibri"/>
      <family val="2"/>
      <scheme val="minor"/>
    </font>
    <font>
      <sz val="10"/>
      <color rgb="FFB30F10"/>
      <name val="Calibri"/>
      <family val="2"/>
      <scheme val="minor"/>
    </font>
    <font>
      <b/>
      <sz val="11"/>
      <color theme="0"/>
      <name val="Calibri"/>
      <family val="2"/>
      <scheme val="minor"/>
    </font>
    <font>
      <sz val="11"/>
      <color rgb="FF1F497D"/>
      <name val="Calibri"/>
      <family val="2"/>
      <scheme val="minor"/>
    </font>
    <font>
      <i/>
      <sz val="11"/>
      <color rgb="FF1F497D"/>
      <name val="Calibri"/>
      <family val="2"/>
      <scheme val="minor"/>
    </font>
    <font>
      <b/>
      <sz val="13"/>
      <color theme="0"/>
      <name val="Calibri"/>
      <family val="2"/>
      <scheme val="minor"/>
    </font>
    <font>
      <i/>
      <sz val="9"/>
      <name val="Calibri"/>
      <family val="2"/>
      <scheme val="minor"/>
    </font>
    <font>
      <b/>
      <i/>
      <sz val="9"/>
      <name val="Calibri"/>
      <family val="2"/>
      <scheme val="minor"/>
    </font>
    <font>
      <b/>
      <sz val="11"/>
      <color rgb="FFE87727"/>
      <name val="Calibri"/>
      <family val="2"/>
      <scheme val="minor"/>
    </font>
    <fon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
      <patternFill patternType="solid">
        <fgColor rgb="FF25408F"/>
        <bgColor indexed="64"/>
      </patternFill>
    </fill>
    <fill>
      <patternFill patternType="solid">
        <fgColor rgb="FF727375"/>
        <bgColor indexed="64"/>
      </patternFill>
    </fill>
    <fill>
      <patternFill patternType="solid">
        <fgColor rgb="FF921B1D"/>
        <bgColor indexed="64"/>
      </patternFill>
    </fill>
    <fill>
      <patternFill patternType="solid">
        <fgColor rgb="FFB30F10"/>
        <bgColor indexed="64"/>
      </patternFill>
    </fill>
    <fill>
      <patternFill patternType="solid">
        <fgColor rgb="FF14989C"/>
        <bgColor indexed="64"/>
      </patternFill>
    </fill>
    <fill>
      <patternFill patternType="solid">
        <fgColor rgb="FF9AB0BB"/>
        <bgColor indexed="64"/>
      </patternFill>
    </fill>
    <fill>
      <patternFill patternType="solid">
        <fgColor rgb="FFB20E0F"/>
        <bgColor indexed="64"/>
      </patternFill>
    </fill>
    <fill>
      <patternFill patternType="solid">
        <fgColor theme="6"/>
        <bgColor theme="6"/>
      </patternFill>
    </fill>
    <fill>
      <patternFill patternType="solid">
        <fgColor indexed="65"/>
        <bgColor theme="3" tint="0.39991454817346722"/>
      </patternFill>
    </fill>
    <fill>
      <patternFill patternType="solid">
        <fgColor indexed="65"/>
        <bgColor indexed="64"/>
      </patternFill>
    </fill>
    <fill>
      <patternFill patternType="solid">
        <fgColor theme="9" tint="0.59999389629810485"/>
        <bgColor indexed="64"/>
      </patternFill>
    </fill>
  </fills>
  <borders count="5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theme="4" tint="0.39997558519241921"/>
      </bottom>
      <diagonal/>
    </border>
    <border>
      <left style="thin">
        <color indexed="64"/>
      </left>
      <right/>
      <top/>
      <bottom style="medium">
        <color theme="4" tint="0.39997558519241921"/>
      </bottom>
      <diagonal/>
    </border>
    <border>
      <left style="thin">
        <color theme="0" tint="-0.499984740745262"/>
      </left>
      <right/>
      <top/>
      <bottom/>
      <diagonal/>
    </border>
    <border>
      <left/>
      <right/>
      <top style="thin">
        <color theme="0" tint="-0.34998626667073579"/>
      </top>
      <bottom style="thin">
        <color theme="0" tint="-0.34998626667073579"/>
      </bottom>
      <diagonal/>
    </border>
    <border>
      <left style="thin">
        <color theme="0" tint="-0.499984740745262"/>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499984740745262"/>
      </right>
      <top/>
      <bottom/>
      <diagonal/>
    </border>
    <border>
      <left style="thin">
        <color theme="6"/>
      </left>
      <right/>
      <top style="thin">
        <color theme="6"/>
      </top>
      <bottom/>
      <diagonal/>
    </border>
    <border>
      <left/>
      <right/>
      <top style="thin">
        <color theme="6"/>
      </top>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diagonal/>
    </border>
    <border>
      <left/>
      <right style="thin">
        <color theme="6"/>
      </right>
      <top style="thin">
        <color theme="6"/>
      </top>
      <bottom style="thin">
        <color theme="6"/>
      </bottom>
      <diagonal/>
    </border>
    <border>
      <left style="thin">
        <color indexed="64"/>
      </left>
      <right style="thin">
        <color indexed="64"/>
      </right>
      <top/>
      <bottom/>
      <diagonal/>
    </border>
    <border>
      <left style="thick">
        <color rgb="FFB30F10"/>
      </left>
      <right style="thick">
        <color rgb="FFB30F10"/>
      </right>
      <top style="thick">
        <color rgb="FFB30F10"/>
      </top>
      <bottom style="thick">
        <color rgb="FFB30F10"/>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medium">
        <color indexed="64"/>
      </bottom>
      <diagonal/>
    </border>
    <border>
      <left/>
      <right/>
      <top style="thin">
        <color theme="0" tint="-0.34998626667073579"/>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s>
  <cellStyleXfs count="6">
    <xf numFmtId="0" fontId="0" fillId="0" borderId="0"/>
    <xf numFmtId="0" fontId="1" fillId="0" borderId="0"/>
    <xf numFmtId="0" fontId="6" fillId="0" borderId="0"/>
    <xf numFmtId="0" fontId="10" fillId="0" borderId="7" applyNumberFormat="0" applyFill="0" applyAlignment="0" applyProtection="0"/>
    <xf numFmtId="0" fontId="11" fillId="0" borderId="8" applyNumberFormat="0" applyFill="0" applyAlignment="0" applyProtection="0"/>
    <xf numFmtId="0" fontId="26" fillId="0" borderId="15" applyNumberFormat="0" applyFill="0" applyAlignment="0" applyProtection="0"/>
  </cellStyleXfs>
  <cellXfs count="340">
    <xf numFmtId="0" fontId="0" fillId="0" borderId="0" xfId="0"/>
    <xf numFmtId="0" fontId="2" fillId="0" borderId="0" xfId="1" applyFont="1" applyFill="1" applyBorder="1" applyAlignment="1" applyProtection="1">
      <alignment vertical="top" wrapText="1"/>
    </xf>
    <xf numFmtId="1" fontId="4" fillId="0" borderId="0" xfId="1" applyNumberFormat="1" applyFont="1" applyFill="1" applyBorder="1" applyAlignment="1" applyProtection="1">
      <alignment horizontal="left" vertical="center"/>
    </xf>
    <xf numFmtId="1" fontId="5" fillId="0" borderId="0" xfId="1" applyNumberFormat="1" applyFont="1" applyFill="1" applyBorder="1" applyAlignment="1" applyProtection="1">
      <alignment horizontal="left" vertical="center"/>
    </xf>
    <xf numFmtId="0" fontId="2" fillId="0" borderId="0" xfId="1" applyFont="1" applyBorder="1" applyProtection="1"/>
    <xf numFmtId="0" fontId="2" fillId="0" borderId="0" xfId="1" applyFont="1" applyFill="1" applyBorder="1" applyProtection="1"/>
    <xf numFmtId="0" fontId="8" fillId="3" borderId="4" xfId="0" applyFont="1" applyFill="1" applyBorder="1" applyAlignment="1">
      <alignment vertical="top" wrapText="1"/>
    </xf>
    <xf numFmtId="0" fontId="8" fillId="0" borderId="0" xfId="0" applyFont="1" applyAlignment="1">
      <alignment vertical="center"/>
    </xf>
    <xf numFmtId="0" fontId="0" fillId="0" borderId="4" xfId="0" applyBorder="1" applyAlignment="1">
      <alignment vertical="center" wrapText="1"/>
    </xf>
    <xf numFmtId="0" fontId="0" fillId="0" borderId="0" xfId="0" applyAlignment="1">
      <alignment horizontal="left"/>
    </xf>
    <xf numFmtId="0" fontId="0" fillId="0" borderId="0" xfId="0" applyAlignment="1">
      <alignment vertical="center"/>
    </xf>
    <xf numFmtId="0" fontId="11" fillId="0" borderId="0" xfId="4" applyBorder="1"/>
    <xf numFmtId="0" fontId="10" fillId="0" borderId="0" xfId="3" applyBorder="1"/>
    <xf numFmtId="0" fontId="0" fillId="0" borderId="0" xfId="0"/>
    <xf numFmtId="0" fontId="12" fillId="0" borderId="0" xfId="3" applyFont="1" applyBorder="1" applyAlignment="1">
      <alignment vertical="center"/>
    </xf>
    <xf numFmtId="0" fontId="2" fillId="0" borderId="1" xfId="1" applyFont="1" applyFill="1" applyBorder="1" applyProtection="1"/>
    <xf numFmtId="0" fontId="2" fillId="2" borderId="2" xfId="1" applyFont="1" applyFill="1" applyBorder="1" applyAlignment="1" applyProtection="1">
      <alignment vertical="center" wrapText="1"/>
    </xf>
    <xf numFmtId="0" fontId="3" fillId="2" borderId="2" xfId="1" applyFont="1" applyFill="1" applyBorder="1" applyAlignment="1" applyProtection="1">
      <alignment horizontal="left" vertical="center" wrapText="1"/>
    </xf>
    <xf numFmtId="0" fontId="2" fillId="2" borderId="2" xfId="1" applyFont="1" applyFill="1" applyBorder="1" applyAlignment="1" applyProtection="1">
      <alignment vertical="center"/>
    </xf>
    <xf numFmtId="0" fontId="0" fillId="0" borderId="0" xfId="0" applyFill="1"/>
    <xf numFmtId="0" fontId="0" fillId="0" borderId="0" xfId="0" applyBorder="1"/>
    <xf numFmtId="0" fontId="0" fillId="0" borderId="0" xfId="0" applyProtection="1"/>
    <xf numFmtId="0" fontId="15" fillId="4" borderId="4" xfId="0" applyFont="1" applyFill="1" applyBorder="1" applyAlignment="1">
      <alignment vertical="center" wrapText="1"/>
    </xf>
    <xf numFmtId="165" fontId="9" fillId="0" borderId="10" xfId="0" applyNumberFormat="1" applyFont="1" applyBorder="1" applyAlignment="1" applyProtection="1">
      <alignment vertical="center" wrapText="1"/>
    </xf>
    <xf numFmtId="165" fontId="9" fillId="0" borderId="12" xfId="0" applyNumberFormat="1" applyFont="1" applyBorder="1" applyAlignment="1" applyProtection="1">
      <alignment vertical="center" wrapText="1"/>
    </xf>
    <xf numFmtId="164" fontId="0" fillId="0" borderId="11" xfId="0" applyNumberFormat="1" applyBorder="1" applyAlignment="1" applyProtection="1">
      <alignment horizontal="center" vertical="center"/>
    </xf>
    <xf numFmtId="165" fontId="9" fillId="0" borderId="10" xfId="0" applyNumberFormat="1" applyFont="1" applyBorder="1" applyAlignment="1">
      <alignment vertical="center" wrapText="1"/>
    </xf>
    <xf numFmtId="164" fontId="0" fillId="0" borderId="11" xfId="0" applyNumberFormat="1" applyBorder="1" applyAlignment="1">
      <alignment horizontal="center" vertical="center"/>
    </xf>
    <xf numFmtId="0" fontId="0" fillId="0" borderId="9" xfId="0"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0" fillId="0" borderId="3" xfId="0" applyBorder="1" applyAlignment="1">
      <alignment vertical="center" wrapText="1"/>
    </xf>
    <xf numFmtId="0" fontId="0" fillId="0" borderId="14" xfId="0" applyBorder="1" applyAlignment="1">
      <alignment vertical="center" wrapText="1"/>
    </xf>
    <xf numFmtId="0" fontId="10" fillId="0" borderId="0" xfId="3" applyBorder="1" applyAlignment="1">
      <alignment horizontal="center"/>
    </xf>
    <xf numFmtId="0" fontId="18" fillId="3" borderId="5" xfId="0" applyFont="1" applyFill="1" applyBorder="1" applyAlignment="1">
      <alignment vertical="center"/>
    </xf>
    <xf numFmtId="0" fontId="0" fillId="0" borderId="0" xfId="0" applyAlignment="1">
      <alignment wrapText="1"/>
    </xf>
    <xf numFmtId="0" fontId="21" fillId="6" borderId="14" xfId="0" applyFont="1" applyFill="1" applyBorder="1" applyAlignment="1">
      <alignment vertical="center" wrapText="1"/>
    </xf>
    <xf numFmtId="0" fontId="2" fillId="0" borderId="1" xfId="1" applyFont="1" applyFill="1" applyBorder="1" applyAlignment="1" applyProtection="1">
      <alignment vertical="top" wrapText="1"/>
    </xf>
    <xf numFmtId="0" fontId="7" fillId="0" borderId="1" xfId="1" applyFont="1" applyFill="1" applyBorder="1" applyAlignment="1" applyProtection="1">
      <alignment vertical="top" wrapText="1"/>
    </xf>
    <xf numFmtId="0" fontId="14" fillId="0" borderId="1" xfId="1" applyFont="1" applyFill="1" applyBorder="1" applyAlignment="1" applyProtection="1">
      <alignment horizontal="left" vertical="center"/>
    </xf>
    <xf numFmtId="0" fontId="4" fillId="0" borderId="1" xfId="1" applyFont="1" applyFill="1" applyBorder="1" applyAlignment="1" applyProtection="1">
      <alignment horizontal="left" vertical="center" wrapText="1" indent="2"/>
    </xf>
    <xf numFmtId="0" fontId="2" fillId="0" borderId="2" xfId="1" applyFont="1" applyFill="1" applyBorder="1" applyAlignment="1" applyProtection="1">
      <alignment vertical="top" wrapText="1"/>
    </xf>
    <xf numFmtId="0" fontId="7" fillId="0" borderId="2" xfId="1" applyFont="1" applyFill="1" applyBorder="1" applyAlignment="1" applyProtection="1">
      <alignment vertical="top" wrapText="1"/>
    </xf>
    <xf numFmtId="0" fontId="14" fillId="0" borderId="2" xfId="1" applyFont="1" applyFill="1" applyBorder="1" applyAlignment="1" applyProtection="1">
      <alignment horizontal="left" vertical="center"/>
    </xf>
    <xf numFmtId="0" fontId="4" fillId="0" borderId="2" xfId="1" applyFont="1" applyFill="1" applyBorder="1" applyAlignment="1" applyProtection="1">
      <alignment horizontal="left" vertical="center" wrapText="1" indent="2"/>
    </xf>
    <xf numFmtId="0" fontId="2" fillId="0" borderId="2" xfId="1" applyFont="1" applyFill="1" applyBorder="1" applyProtection="1"/>
    <xf numFmtId="0" fontId="7" fillId="0" borderId="0" xfId="1" applyFont="1" applyFill="1" applyBorder="1" applyAlignment="1" applyProtection="1">
      <alignment vertical="top" wrapText="1"/>
    </xf>
    <xf numFmtId="0" fontId="14" fillId="0" borderId="0" xfId="1" applyFont="1" applyFill="1" applyBorder="1" applyAlignment="1" applyProtection="1">
      <alignment horizontal="left" vertical="center"/>
    </xf>
    <xf numFmtId="0" fontId="2" fillId="0" borderId="0" xfId="1" applyFont="1" applyFill="1" applyBorder="1" applyProtection="1">
      <protection locked="0"/>
    </xf>
    <xf numFmtId="0" fontId="0" fillId="0" borderId="0" xfId="0" applyProtection="1">
      <protection locked="0"/>
    </xf>
    <xf numFmtId="0" fontId="22" fillId="4" borderId="0" xfId="0" applyFont="1" applyFill="1" applyBorder="1" applyAlignment="1">
      <alignment horizontal="left" vertical="center" wrapText="1"/>
    </xf>
    <xf numFmtId="0" fontId="23" fillId="2" borderId="2" xfId="1" applyFont="1" applyFill="1" applyBorder="1" applyAlignment="1" applyProtection="1">
      <alignment horizontal="left" vertical="center" indent="2"/>
    </xf>
    <xf numFmtId="0" fontId="24" fillId="0" borderId="0" xfId="0" applyFont="1" applyAlignment="1">
      <alignment horizontal="center"/>
    </xf>
    <xf numFmtId="0" fontId="0" fillId="0" borderId="0" xfId="0" applyFill="1" applyProtection="1"/>
    <xf numFmtId="0" fontId="10" fillId="0" borderId="0" xfId="3" applyBorder="1" applyAlignment="1" applyProtection="1">
      <alignment horizontal="center"/>
    </xf>
    <xf numFmtId="0" fontId="24" fillId="0" borderId="0" xfId="0" applyFont="1" applyAlignment="1" applyProtection="1">
      <alignment horizontal="center"/>
    </xf>
    <xf numFmtId="0" fontId="24" fillId="0" borderId="0" xfId="0" applyFont="1" applyAlignment="1" applyProtection="1">
      <alignment horizontal="center" wrapText="1"/>
    </xf>
    <xf numFmtId="0" fontId="24" fillId="0" borderId="0" xfId="0" applyFont="1" applyProtection="1"/>
    <xf numFmtId="0" fontId="25" fillId="0" borderId="0" xfId="0" applyFont="1" applyAlignment="1">
      <alignment horizontal="center"/>
    </xf>
    <xf numFmtId="0" fontId="25" fillId="0" borderId="0" xfId="0" applyFont="1" applyAlignment="1" applyProtection="1">
      <alignment horizontal="center"/>
    </xf>
    <xf numFmtId="0" fontId="25" fillId="0" borderId="0" xfId="0" applyFont="1" applyAlignment="1" applyProtection="1">
      <alignment horizontal="center" wrapText="1"/>
    </xf>
    <xf numFmtId="0" fontId="2" fillId="0" borderId="1" xfId="1" applyFont="1" applyFill="1" applyBorder="1" applyProtection="1">
      <protection locked="0"/>
    </xf>
    <xf numFmtId="0" fontId="2" fillId="0" borderId="0" xfId="1" applyFont="1" applyBorder="1" applyProtection="1">
      <protection locked="0"/>
    </xf>
    <xf numFmtId="0" fontId="2" fillId="2" borderId="2" xfId="1" applyFont="1" applyFill="1" applyBorder="1" applyAlignment="1" applyProtection="1">
      <alignment vertical="center"/>
      <protection locked="0"/>
    </xf>
    <xf numFmtId="0" fontId="2" fillId="0" borderId="2" xfId="1" applyFont="1" applyFill="1" applyBorder="1" applyProtection="1">
      <protection locked="0"/>
    </xf>
    <xf numFmtId="0" fontId="0" fillId="0" borderId="10" xfId="0" applyBorder="1"/>
    <xf numFmtId="49" fontId="0" fillId="0" borderId="0" xfId="0" applyNumberFormat="1" applyAlignment="1">
      <alignment horizontal="left"/>
    </xf>
    <xf numFmtId="0" fontId="22" fillId="5" borderId="17" xfId="0" applyFont="1" applyFill="1" applyBorder="1" applyAlignment="1">
      <alignment vertical="center"/>
    </xf>
    <xf numFmtId="0" fontId="0" fillId="0" borderId="18" xfId="0" applyBorder="1" applyAlignment="1">
      <alignment horizontal="left"/>
    </xf>
    <xf numFmtId="49" fontId="0" fillId="0" borderId="18" xfId="0" applyNumberFormat="1" applyBorder="1" applyAlignment="1">
      <alignment horizontal="left"/>
    </xf>
    <xf numFmtId="0" fontId="0" fillId="0" borderId="18" xfId="0" applyBorder="1"/>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0" xfId="0" applyBorder="1" applyAlignment="1">
      <alignment horizontal="left"/>
    </xf>
    <xf numFmtId="49" fontId="0" fillId="0" borderId="0" xfId="0" applyNumberFormat="1" applyBorder="1" applyAlignment="1">
      <alignment horizontal="left"/>
    </xf>
    <xf numFmtId="0" fontId="0" fillId="0" borderId="0" xfId="0" applyAlignment="1" applyProtection="1">
      <protection locked="0"/>
    </xf>
    <xf numFmtId="0" fontId="0" fillId="0" borderId="0" xfId="0" applyFill="1" applyBorder="1"/>
    <xf numFmtId="0" fontId="0" fillId="0" borderId="18" xfId="0" applyFill="1" applyBorder="1"/>
    <xf numFmtId="0" fontId="14" fillId="0" borderId="18" xfId="0" applyFont="1" applyFill="1" applyBorder="1" applyAlignment="1">
      <alignment horizontal="left" vertical="center" wrapText="1"/>
    </xf>
    <xf numFmtId="0" fontId="14" fillId="0" borderId="0" xfId="0" applyFont="1" applyFill="1" applyBorder="1" applyAlignment="1" applyProtection="1">
      <alignment horizontal="center" vertical="center" wrapText="1"/>
      <protection locked="0"/>
    </xf>
    <xf numFmtId="0" fontId="14" fillId="0" borderId="18" xfId="0"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wrapText="1"/>
      <protection locked="0"/>
    </xf>
    <xf numFmtId="0" fontId="14" fillId="0" borderId="0" xfId="0" applyFont="1" applyFill="1" applyAlignment="1" applyProtection="1">
      <alignment horizontal="center" vertical="center"/>
      <protection locked="0"/>
    </xf>
    <xf numFmtId="0" fontId="0" fillId="0" borderId="0" xfId="0" applyFill="1" applyBorder="1" applyProtection="1">
      <protection locked="0"/>
    </xf>
    <xf numFmtId="0" fontId="0" fillId="0" borderId="18" xfId="0" applyFill="1" applyBorder="1" applyProtection="1">
      <protection locked="0"/>
    </xf>
    <xf numFmtId="1" fontId="19" fillId="0" borderId="21" xfId="0" applyNumberFormat="1" applyFont="1" applyBorder="1" applyAlignment="1" applyProtection="1">
      <alignment horizontal="right" vertical="center" wrapText="1" indent="1"/>
    </xf>
    <xf numFmtId="0" fontId="14" fillId="0" borderId="0" xfId="0" applyFont="1" applyFill="1" applyBorder="1" applyAlignment="1" applyProtection="1">
      <alignment horizontal="center" vertical="center" wrapText="1"/>
    </xf>
    <xf numFmtId="0" fontId="14" fillId="0" borderId="18" xfId="0" applyFont="1" applyFill="1" applyBorder="1" applyAlignment="1" applyProtection="1">
      <alignment horizontal="center" vertical="center" wrapText="1"/>
    </xf>
    <xf numFmtId="0" fontId="0" fillId="0" borderId="0" xfId="0" applyAlignment="1" applyProtection="1">
      <alignment vertical="top"/>
    </xf>
    <xf numFmtId="0" fontId="25" fillId="0" borderId="0" xfId="0" applyFont="1" applyAlignment="1" applyProtection="1"/>
    <xf numFmtId="0" fontId="25" fillId="0" borderId="0" xfId="0" applyFont="1" applyAlignment="1">
      <alignment vertical="center"/>
    </xf>
    <xf numFmtId="0" fontId="0" fillId="0" borderId="20" xfId="0" applyBorder="1" applyAlignment="1">
      <alignment horizontal="left" vertical="top" wrapText="1"/>
    </xf>
    <xf numFmtId="0" fontId="0" fillId="0" borderId="22" xfId="0" applyBorder="1"/>
    <xf numFmtId="0" fontId="0" fillId="0" borderId="0" xfId="0" applyAlignment="1">
      <alignment horizontal="left" vertical="top" wrapText="1"/>
    </xf>
    <xf numFmtId="0" fontId="15" fillId="8" borderId="4" xfId="0" applyFont="1" applyFill="1" applyBorder="1" applyAlignment="1">
      <alignment vertical="center" wrapText="1"/>
    </xf>
    <xf numFmtId="0" fontId="15" fillId="9" borderId="4" xfId="0" applyFont="1" applyFill="1" applyBorder="1" applyAlignment="1">
      <alignment vertical="center" wrapText="1"/>
    </xf>
    <xf numFmtId="0" fontId="15" fillId="9" borderId="10" xfId="0" applyFont="1" applyFill="1" applyBorder="1" applyAlignment="1">
      <alignment vertical="center" wrapText="1"/>
    </xf>
    <xf numFmtId="0" fontId="15" fillId="9" borderId="0" xfId="0" applyFont="1" applyFill="1" applyBorder="1" applyAlignment="1">
      <alignment vertical="center" wrapText="1"/>
    </xf>
    <xf numFmtId="0" fontId="17" fillId="7" borderId="0" xfId="3" applyFont="1" applyFill="1" applyBorder="1" applyAlignment="1">
      <alignment horizontal="left"/>
    </xf>
    <xf numFmtId="49" fontId="17" fillId="7" borderId="0" xfId="3" applyNumberFormat="1" applyFont="1" applyFill="1" applyBorder="1" applyAlignment="1">
      <alignment horizontal="left" vertical="center"/>
    </xf>
    <xf numFmtId="0" fontId="17" fillId="7" borderId="0" xfId="3" applyFont="1" applyFill="1" applyBorder="1" applyAlignment="1">
      <alignment horizontal="left" vertical="center"/>
    </xf>
    <xf numFmtId="0" fontId="17" fillId="7" borderId="0" xfId="3" applyFont="1" applyFill="1" applyBorder="1" applyAlignment="1" applyProtection="1">
      <alignment horizontal="left" vertical="center"/>
      <protection locked="0"/>
    </xf>
    <xf numFmtId="0" fontId="22" fillId="7" borderId="0" xfId="0" applyFont="1" applyFill="1" applyAlignment="1">
      <alignment horizontal="center" vertical="center"/>
    </xf>
    <xf numFmtId="0" fontId="0" fillId="7" borderId="0" xfId="0" applyFill="1" applyProtection="1">
      <protection locked="0"/>
    </xf>
    <xf numFmtId="49" fontId="4" fillId="0" borderId="30" xfId="0" applyNumberFormat="1" applyFont="1" applyFill="1" applyBorder="1" applyAlignment="1" applyProtection="1">
      <alignment horizontal="center" vertical="center" wrapText="1"/>
      <protection locked="0"/>
    </xf>
    <xf numFmtId="0" fontId="31" fillId="7" borderId="0" xfId="3" applyFont="1" applyFill="1" applyBorder="1" applyAlignment="1">
      <alignment horizontal="left" vertical="center"/>
    </xf>
    <xf numFmtId="0" fontId="22" fillId="8" borderId="18" xfId="0" applyFont="1" applyFill="1" applyBorder="1" applyAlignment="1">
      <alignment horizontal="left" vertical="center" wrapText="1"/>
    </xf>
    <xf numFmtId="0" fontId="22" fillId="8" borderId="18" xfId="0" applyFont="1" applyFill="1" applyBorder="1" applyAlignment="1">
      <alignment horizontal="center" vertical="center" wrapText="1"/>
    </xf>
    <xf numFmtId="0" fontId="22" fillId="8" borderId="18" xfId="0" applyFont="1" applyFill="1" applyBorder="1" applyAlignment="1">
      <alignment horizontal="left" vertical="center"/>
    </xf>
    <xf numFmtId="0" fontId="22" fillId="7" borderId="0" xfId="0" applyFont="1" applyFill="1" applyBorder="1" applyAlignment="1">
      <alignment horizontal="left" vertical="center" wrapText="1"/>
    </xf>
    <xf numFmtId="0" fontId="22" fillId="7" borderId="0" xfId="0" applyFont="1" applyFill="1" applyBorder="1" applyAlignment="1">
      <alignment horizontal="center" vertical="center" wrapText="1"/>
    </xf>
    <xf numFmtId="0" fontId="22" fillId="5" borderId="20" xfId="0" applyFont="1" applyFill="1" applyBorder="1" applyAlignment="1">
      <alignment vertical="center"/>
    </xf>
    <xf numFmtId="0" fontId="22" fillId="8" borderId="0" xfId="0" applyFont="1" applyFill="1" applyBorder="1" applyAlignment="1">
      <alignment horizontal="left" vertical="center"/>
    </xf>
    <xf numFmtId="0" fontId="22" fillId="8" borderId="0" xfId="0" applyFont="1" applyFill="1" applyBorder="1" applyAlignment="1">
      <alignment horizontal="left" vertical="center" wrapText="1"/>
    </xf>
    <xf numFmtId="0" fontId="22" fillId="8" borderId="0" xfId="0" applyFont="1" applyFill="1" applyBorder="1" applyAlignment="1">
      <alignment horizontal="center" vertical="center" wrapText="1"/>
    </xf>
    <xf numFmtId="0" fontId="0" fillId="0" borderId="0" xfId="0" applyAlignment="1">
      <alignment horizontal="left" vertical="top" wrapText="1"/>
    </xf>
    <xf numFmtId="0" fontId="16" fillId="0" borderId="0" xfId="0" applyFont="1" applyBorder="1" applyAlignment="1">
      <alignment horizontal="left" vertical="center" wrapText="1" indent="25"/>
    </xf>
    <xf numFmtId="0" fontId="8" fillId="0" borderId="0" xfId="0" applyFont="1" applyAlignment="1">
      <alignment horizontal="center" vertical="center"/>
    </xf>
    <xf numFmtId="0" fontId="22" fillId="8" borderId="0" xfId="0" applyFont="1" applyFill="1" applyBorder="1" applyAlignment="1">
      <alignment horizontal="left" vertical="top" wrapText="1"/>
    </xf>
    <xf numFmtId="0" fontId="20" fillId="5" borderId="17" xfId="0" applyFont="1" applyFill="1" applyBorder="1" applyAlignment="1">
      <alignment vertical="center"/>
    </xf>
    <xf numFmtId="0" fontId="20" fillId="7" borderId="0" xfId="0" applyFont="1" applyFill="1" applyBorder="1" applyAlignment="1">
      <alignment horizontal="left" vertical="center"/>
    </xf>
    <xf numFmtId="0" fontId="13" fillId="0" borderId="0" xfId="3" applyFont="1" applyBorder="1" applyAlignment="1">
      <alignment vertical="center"/>
    </xf>
    <xf numFmtId="0" fontId="0" fillId="0" borderId="10" xfId="0" applyFont="1" applyBorder="1" applyAlignment="1">
      <alignment horizontal="center" vertical="center" wrapText="1"/>
    </xf>
    <xf numFmtId="0" fontId="0" fillId="0" borderId="0" xfId="0" applyFont="1" applyAlignment="1">
      <alignment horizontal="center" vertical="center" wrapText="1"/>
    </xf>
    <xf numFmtId="0" fontId="16" fillId="0" borderId="0" xfId="0" applyFont="1" applyBorder="1" applyAlignment="1">
      <alignment horizontal="left" vertical="center" wrapText="1" indent="14"/>
    </xf>
    <xf numFmtId="0" fontId="35" fillId="8" borderId="10" xfId="0" applyFont="1" applyFill="1" applyBorder="1" applyAlignment="1">
      <alignment vertical="center" wrapText="1"/>
    </xf>
    <xf numFmtId="49" fontId="0" fillId="0" borderId="31" xfId="0" applyNumberFormat="1" applyBorder="1" applyAlignment="1">
      <alignment horizontal="left"/>
    </xf>
    <xf numFmtId="0" fontId="0" fillId="0" borderId="31" xfId="0" applyBorder="1"/>
    <xf numFmtId="0" fontId="0" fillId="0" borderId="32" xfId="0" applyBorder="1" applyAlignment="1">
      <alignment horizontal="left" vertical="top" wrapText="1"/>
    </xf>
    <xf numFmtId="0" fontId="14" fillId="0" borderId="31" xfId="0" applyFont="1" applyFill="1" applyBorder="1" applyAlignment="1">
      <alignment horizontal="left" vertical="center" wrapText="1"/>
    </xf>
    <xf numFmtId="0" fontId="14" fillId="0" borderId="31" xfId="0" applyFont="1" applyFill="1" applyBorder="1" applyAlignment="1" applyProtection="1">
      <alignment horizontal="center" vertical="center" wrapText="1"/>
    </xf>
    <xf numFmtId="0" fontId="14" fillId="0" borderId="31" xfId="0" applyFont="1" applyFill="1" applyBorder="1" applyAlignment="1" applyProtection="1">
      <alignment horizontal="center" vertical="center" wrapText="1"/>
      <protection locked="0"/>
    </xf>
    <xf numFmtId="0" fontId="0" fillId="0" borderId="31" xfId="0" applyFill="1" applyBorder="1"/>
    <xf numFmtId="49" fontId="0" fillId="0" borderId="33" xfId="0" applyNumberFormat="1" applyBorder="1" applyAlignment="1">
      <alignment horizontal="left"/>
    </xf>
    <xf numFmtId="0" fontId="0" fillId="0" borderId="33" xfId="0" applyBorder="1"/>
    <xf numFmtId="0" fontId="0" fillId="0" borderId="34" xfId="0" applyBorder="1" applyAlignment="1">
      <alignment horizontal="left" vertical="top" wrapText="1"/>
    </xf>
    <xf numFmtId="0" fontId="0" fillId="0" borderId="33" xfId="0" applyBorder="1" applyAlignment="1">
      <alignment horizontal="left" vertical="top" wrapText="1"/>
    </xf>
    <xf numFmtId="0" fontId="0" fillId="0" borderId="33" xfId="0" applyBorder="1" applyAlignment="1">
      <alignment horizontal="center" vertical="center"/>
    </xf>
    <xf numFmtId="0" fontId="0" fillId="0" borderId="33" xfId="0" applyBorder="1" applyAlignment="1" applyProtection="1">
      <alignment horizontal="left" vertical="top" wrapText="1"/>
      <protection locked="0"/>
    </xf>
    <xf numFmtId="0" fontId="14" fillId="0" borderId="33" xfId="0" applyFont="1" applyFill="1" applyBorder="1" applyAlignment="1">
      <alignment horizontal="left" vertical="center" wrapText="1"/>
    </xf>
    <xf numFmtId="0" fontId="14" fillId="0" borderId="33" xfId="0" applyFont="1" applyFill="1" applyBorder="1" applyAlignment="1" applyProtection="1">
      <alignment horizontal="center" vertical="center" wrapText="1"/>
    </xf>
    <xf numFmtId="0" fontId="14" fillId="0" borderId="33" xfId="0" applyFont="1" applyFill="1" applyBorder="1" applyAlignment="1" applyProtection="1">
      <alignment horizontal="center" vertical="center" wrapText="1"/>
      <protection locked="0"/>
    </xf>
    <xf numFmtId="0" fontId="0" fillId="0" borderId="33" xfId="0" applyFill="1" applyBorder="1"/>
    <xf numFmtId="0" fontId="17" fillId="7" borderId="0" xfId="3" applyFont="1" applyFill="1" applyBorder="1" applyAlignment="1" applyProtection="1">
      <alignment horizontal="left" vertical="center"/>
    </xf>
    <xf numFmtId="0" fontId="35" fillId="8" borderId="0" xfId="0" applyFont="1" applyFill="1" applyBorder="1" applyAlignment="1">
      <alignment vertical="center" wrapText="1"/>
    </xf>
    <xf numFmtId="0" fontId="21" fillId="6" borderId="9" xfId="0" applyFont="1" applyFill="1" applyBorder="1" applyAlignment="1">
      <alignment vertical="center" wrapText="1"/>
    </xf>
    <xf numFmtId="0" fontId="0" fillId="0" borderId="12" xfId="0" applyBorder="1"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21" fillId="6" borderId="0" xfId="0" applyFont="1" applyFill="1" applyBorder="1" applyAlignment="1">
      <alignment vertical="center" wrapText="1"/>
    </xf>
    <xf numFmtId="0" fontId="0" fillId="0" borderId="0" xfId="0" applyFill="1" applyProtection="1">
      <protection locked="0"/>
    </xf>
    <xf numFmtId="0" fontId="0" fillId="0" borderId="33" xfId="0" applyBorder="1" applyAlignment="1">
      <alignment horizontal="left"/>
    </xf>
    <xf numFmtId="0" fontId="0" fillId="0" borderId="0" xfId="0" applyBorder="1" applyProtection="1"/>
    <xf numFmtId="0" fontId="17" fillId="7" borderId="0" xfId="3" applyFont="1" applyFill="1" applyBorder="1" applyAlignment="1" applyProtection="1">
      <alignment horizontal="left" vertical="center"/>
    </xf>
    <xf numFmtId="0" fontId="0" fillId="13" borderId="33" xfId="0" applyFill="1" applyBorder="1" applyAlignment="1">
      <alignment horizontal="left"/>
    </xf>
    <xf numFmtId="0" fontId="29" fillId="0" borderId="33" xfId="0" applyFont="1" applyBorder="1" applyAlignment="1">
      <alignment horizontal="left" vertical="top" wrapText="1" indent="2"/>
    </xf>
    <xf numFmtId="0" fontId="36" fillId="12" borderId="33" xfId="0" applyFont="1" applyFill="1" applyBorder="1" applyAlignment="1">
      <alignment horizontal="center" vertical="center" wrapText="1"/>
    </xf>
    <xf numFmtId="0" fontId="0" fillId="12" borderId="33" xfId="0" applyFill="1" applyBorder="1" applyAlignment="1">
      <alignment horizontal="left" vertical="top" wrapText="1"/>
    </xf>
    <xf numFmtId="0" fontId="37" fillId="12" borderId="33" xfId="0" applyFont="1" applyFill="1" applyBorder="1" applyAlignment="1">
      <alignment horizontal="center" vertical="center" wrapText="1"/>
    </xf>
    <xf numFmtId="0" fontId="22" fillId="5" borderId="34" xfId="0" applyFont="1" applyFill="1" applyBorder="1" applyAlignment="1">
      <alignment vertical="center"/>
    </xf>
    <xf numFmtId="0" fontId="22" fillId="7" borderId="33" xfId="0" applyFont="1" applyFill="1" applyBorder="1" applyAlignment="1">
      <alignment horizontal="left" vertical="center"/>
    </xf>
    <xf numFmtId="0" fontId="3" fillId="0" borderId="35" xfId="0" applyFont="1" applyFill="1" applyBorder="1" applyAlignment="1" applyProtection="1">
      <alignment horizontal="center"/>
    </xf>
    <xf numFmtId="0" fontId="14" fillId="0" borderId="35" xfId="0" applyFont="1" applyFill="1" applyBorder="1" applyAlignment="1" applyProtection="1">
      <alignment wrapText="1"/>
      <protection locked="0"/>
    </xf>
    <xf numFmtId="0" fontId="8" fillId="0" borderId="0" xfId="0" applyFont="1" applyAlignment="1">
      <alignment wrapText="1"/>
    </xf>
    <xf numFmtId="0" fontId="17" fillId="7" borderId="0" xfId="3" applyFont="1" applyFill="1" applyBorder="1" applyAlignment="1">
      <alignment horizontal="left" vertical="center"/>
    </xf>
    <xf numFmtId="0" fontId="0" fillId="0" borderId="18" xfId="0" applyNumberFormat="1" applyBorder="1" applyAlignment="1">
      <alignment horizontal="left"/>
    </xf>
    <xf numFmtId="0" fontId="29" fillId="0" borderId="18" xfId="0" applyFont="1" applyBorder="1" applyAlignment="1">
      <alignment horizontal="left" vertical="top" wrapText="1" indent="2"/>
    </xf>
    <xf numFmtId="0" fontId="0" fillId="0" borderId="36" xfId="0" applyNumberFormat="1" applyBorder="1" applyAlignment="1">
      <alignment horizontal="left"/>
    </xf>
    <xf numFmtId="0" fontId="0" fillId="13" borderId="18" xfId="0" applyFill="1" applyBorder="1" applyAlignment="1">
      <alignment horizontal="left" vertical="top" wrapText="1"/>
    </xf>
    <xf numFmtId="0" fontId="0" fillId="13" borderId="18" xfId="0" applyFill="1" applyBorder="1"/>
    <xf numFmtId="0" fontId="17" fillId="7" borderId="0" xfId="3" applyFont="1" applyFill="1" applyBorder="1" applyAlignment="1" applyProtection="1">
      <alignment horizontal="left" vertical="center"/>
    </xf>
    <xf numFmtId="0" fontId="0" fillId="0" borderId="0" xfId="0" applyAlignment="1" applyProtection="1">
      <alignment horizontal="left"/>
    </xf>
    <xf numFmtId="0" fontId="22" fillId="8" borderId="18" xfId="0" applyFont="1" applyFill="1" applyBorder="1" applyAlignment="1">
      <alignment horizontal="left" vertical="top" wrapText="1"/>
    </xf>
    <xf numFmtId="0" fontId="14" fillId="0" borderId="36" xfId="0" applyFont="1" applyFill="1" applyBorder="1" applyAlignment="1" applyProtection="1">
      <alignment horizontal="center" vertical="center" wrapText="1"/>
    </xf>
    <xf numFmtId="0" fontId="35" fillId="8" borderId="0" xfId="0" applyFont="1" applyFill="1" applyBorder="1" applyAlignment="1">
      <alignment horizontal="left" vertical="center" wrapText="1" indent="1"/>
    </xf>
    <xf numFmtId="0" fontId="15" fillId="9" borderId="29" xfId="0" applyFont="1" applyFill="1" applyBorder="1" applyAlignment="1">
      <alignment vertical="center" wrapText="1"/>
    </xf>
    <xf numFmtId="0" fontId="35" fillId="8" borderId="9" xfId="0" applyFont="1" applyFill="1" applyBorder="1" applyAlignment="1">
      <alignment vertical="center" wrapText="1"/>
    </xf>
    <xf numFmtId="0" fontId="35" fillId="8" borderId="2" xfId="0" applyFont="1" applyFill="1" applyBorder="1" applyAlignment="1">
      <alignment vertical="center" wrapText="1"/>
    </xf>
    <xf numFmtId="0" fontId="35" fillId="8" borderId="2" xfId="0" applyFont="1" applyFill="1" applyBorder="1" applyAlignment="1">
      <alignment horizontal="left" vertical="center" wrapText="1" indent="1"/>
    </xf>
    <xf numFmtId="0" fontId="0" fillId="0" borderId="10" xfId="0" applyBorder="1" applyAlignment="1">
      <alignment vertical="center" wrapText="1"/>
    </xf>
    <xf numFmtId="0" fontId="18" fillId="3" borderId="4" xfId="0" applyFont="1" applyFill="1" applyBorder="1" applyAlignment="1">
      <alignment horizontal="center" wrapText="1"/>
    </xf>
    <xf numFmtId="0" fontId="8" fillId="0" borderId="3" xfId="0" applyFont="1" applyBorder="1" applyAlignment="1">
      <alignment horizontal="center" vertical="center" wrapText="1"/>
    </xf>
    <xf numFmtId="165" fontId="9" fillId="0" borderId="12" xfId="0" applyNumberFormat="1" applyFont="1" applyBorder="1" applyAlignment="1">
      <alignment vertical="center" wrapText="1"/>
    </xf>
    <xf numFmtId="0" fontId="8" fillId="0" borderId="0" xfId="0" applyFont="1" applyAlignment="1" applyProtection="1">
      <alignment vertical="center"/>
      <protection locked="0"/>
    </xf>
    <xf numFmtId="0" fontId="8" fillId="0" borderId="0" xfId="0" applyFont="1" applyAlignment="1" applyProtection="1">
      <alignment vertical="center"/>
    </xf>
    <xf numFmtId="0" fontId="0" fillId="0" borderId="0" xfId="0" applyAlignment="1">
      <alignment horizontal="left" vertical="top"/>
    </xf>
    <xf numFmtId="166" fontId="14" fillId="0" borderId="4" xfId="1" applyNumberFormat="1" applyFont="1" applyFill="1" applyBorder="1" applyAlignment="1" applyProtection="1">
      <alignment horizontal="left" vertical="center" indent="1"/>
      <protection locked="0"/>
    </xf>
    <xf numFmtId="2" fontId="15" fillId="9" borderId="11" xfId="0" applyNumberFormat="1" applyFont="1" applyFill="1" applyBorder="1" applyAlignment="1">
      <alignment vertical="center" wrapText="1"/>
    </xf>
    <xf numFmtId="2" fontId="15" fillId="9" borderId="11" xfId="0" applyNumberFormat="1" applyFont="1" applyFill="1" applyBorder="1" applyAlignment="1" applyProtection="1">
      <alignment vertical="center" wrapText="1"/>
    </xf>
    <xf numFmtId="2" fontId="32" fillId="11" borderId="23" xfId="0" applyNumberFormat="1" applyFont="1" applyFill="1" applyBorder="1" applyAlignment="1">
      <alignment horizontal="center" vertical="center" wrapText="1"/>
    </xf>
    <xf numFmtId="2" fontId="15" fillId="9" borderId="0" xfId="0" applyNumberFormat="1" applyFont="1" applyFill="1" applyBorder="1" applyAlignment="1">
      <alignment vertical="center" wrapText="1"/>
    </xf>
    <xf numFmtId="2" fontId="32" fillId="11" borderId="24" xfId="0" applyNumberFormat="1" applyFont="1" applyFill="1" applyBorder="1" applyAlignment="1">
      <alignment horizontal="center" vertical="center" wrapText="1"/>
    </xf>
    <xf numFmtId="2" fontId="32" fillId="11" borderId="27" xfId="0" applyNumberFormat="1" applyFont="1" applyFill="1" applyBorder="1" applyAlignment="1">
      <alignment horizontal="center" vertical="center" wrapText="1"/>
    </xf>
    <xf numFmtId="0" fontId="22" fillId="8" borderId="21" xfId="0" applyFont="1" applyFill="1" applyBorder="1" applyAlignment="1">
      <alignment horizontal="left" vertical="center" wrapText="1"/>
    </xf>
    <xf numFmtId="0" fontId="22" fillId="8" borderId="21" xfId="0" applyFont="1" applyFill="1" applyBorder="1" applyAlignment="1">
      <alignment horizontal="center" vertical="center" wrapText="1"/>
    </xf>
    <xf numFmtId="165" fontId="19" fillId="0" borderId="21" xfId="0" applyNumberFormat="1" applyFont="1" applyBorder="1" applyAlignment="1" applyProtection="1">
      <alignment horizontal="right" vertical="center" wrapText="1" indent="1"/>
    </xf>
    <xf numFmtId="0" fontId="8" fillId="0" borderId="14" xfId="0" applyFont="1" applyBorder="1" applyAlignment="1">
      <alignment horizontal="center" vertical="center" wrapText="1"/>
    </xf>
    <xf numFmtId="0" fontId="35" fillId="8" borderId="2" xfId="0" applyFont="1" applyFill="1" applyBorder="1" applyAlignment="1">
      <alignment horizontal="left" vertical="center" wrapText="1" indent="1"/>
    </xf>
    <xf numFmtId="0" fontId="24" fillId="0" borderId="0" xfId="0" applyFont="1" applyBorder="1" applyAlignment="1" applyProtection="1">
      <alignment horizontal="center"/>
    </xf>
    <xf numFmtId="0" fontId="22" fillId="5" borderId="19" xfId="0" applyFont="1" applyFill="1" applyBorder="1" applyAlignment="1">
      <alignment vertical="center"/>
    </xf>
    <xf numFmtId="0" fontId="20" fillId="5" borderId="19" xfId="0" applyFont="1" applyFill="1" applyBorder="1" applyAlignment="1">
      <alignment vertical="center"/>
    </xf>
    <xf numFmtId="0" fontId="0" fillId="0" borderId="17" xfId="0" applyBorder="1" applyAlignment="1">
      <alignment horizontal="left" vertical="top" wrapText="1"/>
    </xf>
    <xf numFmtId="0" fontId="22" fillId="10" borderId="18" xfId="0" applyFont="1" applyFill="1" applyBorder="1" applyAlignment="1">
      <alignment horizontal="left" vertical="center"/>
    </xf>
    <xf numFmtId="0" fontId="20" fillId="7" borderId="18" xfId="0" applyFont="1" applyFill="1" applyBorder="1" applyAlignment="1">
      <alignment horizontal="left" vertical="center"/>
    </xf>
    <xf numFmtId="0" fontId="0" fillId="0" borderId="0" xfId="0" applyBorder="1" applyAlignment="1">
      <alignment horizontal="left" vertical="top" wrapText="1"/>
    </xf>
    <xf numFmtId="0" fontId="22" fillId="7" borderId="18" xfId="0" applyFont="1" applyFill="1" applyBorder="1" applyAlignment="1">
      <alignment horizontal="left" vertical="center" wrapText="1"/>
    </xf>
    <xf numFmtId="0" fontId="0" fillId="13" borderId="0" xfId="0" applyFill="1" applyBorder="1" applyAlignment="1">
      <alignment horizontal="left" vertical="top" wrapText="1"/>
    </xf>
    <xf numFmtId="0" fontId="22" fillId="7" borderId="18" xfId="0" applyFont="1" applyFill="1" applyBorder="1" applyAlignment="1">
      <alignment horizontal="center" vertical="center" wrapText="1"/>
    </xf>
    <xf numFmtId="0" fontId="0" fillId="13" borderId="0" xfId="0" applyFill="1" applyBorder="1"/>
    <xf numFmtId="0" fontId="0" fillId="0" borderId="0" xfId="0" applyAlignment="1" applyProtection="1"/>
    <xf numFmtId="0" fontId="14" fillId="0" borderId="0" xfId="0" applyFont="1" applyFill="1" applyBorder="1" applyAlignment="1" applyProtection="1">
      <alignment horizontal="center" vertical="center"/>
    </xf>
    <xf numFmtId="0" fontId="14" fillId="0" borderId="18" xfId="0" applyFont="1" applyFill="1" applyBorder="1" applyAlignment="1" applyProtection="1">
      <alignment horizontal="center" vertical="center"/>
    </xf>
    <xf numFmtId="0" fontId="0" fillId="7" borderId="0" xfId="0" applyFill="1" applyProtection="1"/>
    <xf numFmtId="0" fontId="22" fillId="7"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2" fillId="10" borderId="18" xfId="0" applyFont="1" applyFill="1" applyBorder="1" applyAlignment="1" applyProtection="1">
      <alignment horizontal="left" vertical="center"/>
    </xf>
    <xf numFmtId="0" fontId="22" fillId="10" borderId="18" xfId="0" applyFont="1" applyFill="1" applyBorder="1" applyAlignment="1" applyProtection="1">
      <alignment horizontal="left" vertical="center" wrapText="1"/>
    </xf>
    <xf numFmtId="0" fontId="14" fillId="0" borderId="18" xfId="0" applyFont="1" applyFill="1" applyBorder="1" applyAlignment="1" applyProtection="1">
      <alignment horizontal="left" vertical="center" wrapText="1"/>
    </xf>
    <xf numFmtId="0" fontId="0" fillId="0" borderId="18" xfId="0" applyBorder="1" applyProtection="1"/>
    <xf numFmtId="0" fontId="22" fillId="7" borderId="18" xfId="0" applyFont="1" applyFill="1" applyBorder="1" applyAlignment="1" applyProtection="1">
      <alignment horizontal="left" vertical="center" wrapText="1"/>
    </xf>
    <xf numFmtId="0" fontId="0" fillId="0" borderId="0" xfId="0" applyBorder="1" applyAlignment="1">
      <alignment horizontal="center" vertical="center"/>
    </xf>
    <xf numFmtId="0" fontId="0" fillId="0" borderId="37" xfId="0" applyBorder="1"/>
    <xf numFmtId="0" fontId="0" fillId="13" borderId="0" xfId="0" applyFill="1" applyBorder="1" applyAlignment="1">
      <alignment horizontal="left"/>
    </xf>
    <xf numFmtId="0" fontId="14" fillId="0" borderId="35" xfId="0" applyFont="1" applyFill="1" applyBorder="1" applyAlignment="1" applyProtection="1">
      <alignment horizontal="center" vertical="center" wrapText="1"/>
      <protection locked="0"/>
    </xf>
    <xf numFmtId="1" fontId="0" fillId="0" borderId="23" xfId="0" applyNumberFormat="1" applyFont="1" applyBorder="1" applyAlignment="1" applyProtection="1">
      <alignment horizontal="center" vertical="center"/>
      <protection locked="0"/>
    </xf>
    <xf numFmtId="1" fontId="0" fillId="0" borderId="24" xfId="0" applyNumberFormat="1" applyFont="1" applyBorder="1" applyAlignment="1" applyProtection="1">
      <alignment horizontal="center" vertical="center"/>
      <protection locked="0"/>
    </xf>
    <xf numFmtId="1" fontId="0" fillId="0" borderId="27" xfId="0" applyNumberFormat="1" applyFont="1" applyBorder="1" applyAlignment="1" applyProtection="1">
      <alignment horizontal="center" vertical="center"/>
      <protection locked="0"/>
    </xf>
    <xf numFmtId="1" fontId="0" fillId="0" borderId="25" xfId="0" applyNumberFormat="1" applyFont="1" applyBorder="1" applyAlignment="1" applyProtection="1">
      <alignment horizontal="center" vertical="center"/>
      <protection locked="0"/>
    </xf>
    <xf numFmtId="1" fontId="0" fillId="0" borderId="26" xfId="0" applyNumberFormat="1" applyFont="1" applyBorder="1" applyAlignment="1" applyProtection="1">
      <alignment horizontal="center" vertical="center"/>
      <protection locked="0"/>
    </xf>
    <xf numFmtId="1" fontId="0" fillId="0" borderId="28" xfId="0" applyNumberFormat="1" applyFont="1" applyBorder="1" applyAlignment="1" applyProtection="1">
      <alignment horizontal="center" vertical="center"/>
      <protection locked="0"/>
    </xf>
    <xf numFmtId="1" fontId="0" fillId="0" borderId="11" xfId="0" applyNumberFormat="1" applyBorder="1" applyAlignment="1" applyProtection="1">
      <alignment horizontal="center" vertical="center"/>
    </xf>
    <xf numFmtId="1" fontId="0" fillId="0" borderId="13" xfId="0" applyNumberFormat="1" applyBorder="1" applyAlignment="1" applyProtection="1">
      <alignment horizontal="center" vertical="center"/>
    </xf>
    <xf numFmtId="0" fontId="0" fillId="0" borderId="31" xfId="0" applyBorder="1" applyAlignment="1">
      <alignment horizontal="left"/>
    </xf>
    <xf numFmtId="0" fontId="0" fillId="0" borderId="31" xfId="0" applyBorder="1" applyAlignment="1">
      <alignment horizontal="left" vertical="top" wrapText="1"/>
    </xf>
    <xf numFmtId="0" fontId="22" fillId="8" borderId="31" xfId="0" applyFont="1" applyFill="1" applyBorder="1" applyAlignment="1">
      <alignment horizontal="left" vertical="center" wrapText="1"/>
    </xf>
    <xf numFmtId="0" fontId="22" fillId="8" borderId="33" xfId="0" applyFont="1" applyFill="1" applyBorder="1" applyAlignment="1">
      <alignment horizontal="left" vertical="center" wrapText="1"/>
    </xf>
    <xf numFmtId="0" fontId="0" fillId="0" borderId="37" xfId="0" applyBorder="1" applyAlignment="1">
      <alignment horizontal="left"/>
    </xf>
    <xf numFmtId="49" fontId="0" fillId="0" borderId="37" xfId="0" applyNumberFormat="1" applyBorder="1" applyAlignment="1">
      <alignment horizontal="left"/>
    </xf>
    <xf numFmtId="0" fontId="0" fillId="0" borderId="38" xfId="0" applyBorder="1" applyAlignment="1">
      <alignment horizontal="left" vertical="top" wrapText="1"/>
    </xf>
    <xf numFmtId="0" fontId="29" fillId="0" borderId="37" xfId="0" applyFont="1" applyBorder="1" applyAlignment="1">
      <alignment horizontal="left" vertical="top" wrapText="1" indent="2"/>
    </xf>
    <xf numFmtId="0" fontId="0" fillId="0" borderId="37" xfId="0" applyBorder="1" applyAlignment="1">
      <alignment horizontal="left" vertical="top" wrapText="1"/>
    </xf>
    <xf numFmtId="0" fontId="14" fillId="0" borderId="37" xfId="0" applyFont="1" applyFill="1" applyBorder="1" applyAlignment="1">
      <alignment horizontal="left" vertical="center" wrapText="1"/>
    </xf>
    <xf numFmtId="0" fontId="0" fillId="0" borderId="37" xfId="0" applyFill="1" applyBorder="1"/>
    <xf numFmtId="0" fontId="14" fillId="0" borderId="37" xfId="0" applyFont="1" applyFill="1" applyBorder="1" applyAlignment="1" applyProtection="1">
      <alignment horizontal="center" vertical="center" wrapText="1"/>
    </xf>
    <xf numFmtId="0" fontId="14" fillId="0" borderId="37" xfId="0" applyFont="1" applyFill="1" applyBorder="1" applyAlignment="1" applyProtection="1">
      <alignment horizontal="center" vertical="center" wrapText="1"/>
      <protection locked="0"/>
    </xf>
    <xf numFmtId="0" fontId="8" fillId="0" borderId="4" xfId="0" applyFont="1" applyBorder="1" applyAlignment="1">
      <alignment horizontal="center" vertical="center" wrapText="1"/>
    </xf>
    <xf numFmtId="1" fontId="0" fillId="0" borderId="11" xfId="0" applyNumberFormat="1" applyBorder="1" applyAlignment="1">
      <alignment horizontal="center" vertical="center"/>
    </xf>
    <xf numFmtId="1" fontId="38" fillId="0" borderId="29" xfId="0" applyNumberFormat="1" applyFont="1" applyBorder="1" applyAlignment="1" applyProtection="1">
      <alignment horizontal="center" vertical="center"/>
      <protection locked="0"/>
    </xf>
    <xf numFmtId="1" fontId="0" fillId="0" borderId="13" xfId="0" applyNumberFormat="1" applyBorder="1" applyAlignment="1">
      <alignment horizontal="center" vertical="center"/>
    </xf>
    <xf numFmtId="1" fontId="38" fillId="0" borderId="3" xfId="0" applyNumberFormat="1" applyFont="1" applyBorder="1" applyAlignment="1" applyProtection="1">
      <alignment horizontal="center" vertical="center"/>
      <protection locked="0"/>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42" xfId="0" applyBorder="1" applyAlignment="1">
      <alignment vertical="center"/>
    </xf>
    <xf numFmtId="0" fontId="0" fillId="0" borderId="0" xfId="0" applyAlignment="1">
      <alignment horizontal="center"/>
    </xf>
    <xf numFmtId="0" fontId="8" fillId="14" borderId="44" xfId="0" applyFont="1" applyFill="1" applyBorder="1" applyAlignment="1">
      <alignment horizontal="center" vertical="center"/>
    </xf>
    <xf numFmtId="0" fontId="0" fillId="0" borderId="45" xfId="0" applyBorder="1" applyAlignment="1">
      <alignment horizontal="center"/>
    </xf>
    <xf numFmtId="0" fontId="0" fillId="0" borderId="0" xfId="0" applyBorder="1" applyAlignment="1">
      <alignment horizontal="center"/>
    </xf>
    <xf numFmtId="0" fontId="0" fillId="0" borderId="47" xfId="0" applyBorder="1" applyAlignment="1">
      <alignment horizontal="center"/>
    </xf>
    <xf numFmtId="0" fontId="0" fillId="0" borderId="35" xfId="0" applyBorder="1" applyAlignment="1">
      <alignment horizontal="center"/>
    </xf>
    <xf numFmtId="0" fontId="0" fillId="0" borderId="44" xfId="0" applyBorder="1" applyAlignment="1">
      <alignment vertical="center"/>
    </xf>
    <xf numFmtId="0" fontId="0" fillId="0" borderId="51" xfId="0" applyBorder="1"/>
    <xf numFmtId="0" fontId="0" fillId="0" borderId="46" xfId="0" applyBorder="1"/>
    <xf numFmtId="0" fontId="0" fillId="0" borderId="48" xfId="0" applyBorder="1"/>
    <xf numFmtId="0" fontId="0" fillId="0" borderId="50" xfId="0" applyBorder="1" applyAlignment="1">
      <alignment horizont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vertical="center"/>
    </xf>
    <xf numFmtId="0" fontId="0" fillId="0" borderId="43" xfId="0" applyBorder="1" applyAlignment="1">
      <alignment vertical="center"/>
    </xf>
    <xf numFmtId="0" fontId="0" fillId="0" borderId="49"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52" xfId="0" applyBorder="1" applyAlignment="1">
      <alignment horizontal="center" vertical="center"/>
    </xf>
    <xf numFmtId="0" fontId="0" fillId="0" borderId="35" xfId="0" applyBorder="1" applyAlignment="1">
      <alignment horizontal="center" vertical="center"/>
    </xf>
    <xf numFmtId="0" fontId="0" fillId="0" borderId="42" xfId="0" applyBorder="1" applyAlignment="1">
      <alignment horizontal="center" vertical="center"/>
    </xf>
    <xf numFmtId="0" fontId="0" fillId="14" borderId="0" xfId="0" applyFill="1"/>
    <xf numFmtId="0" fontId="0" fillId="0" borderId="52" xfId="0" applyBorder="1" applyAlignment="1">
      <alignment horizontal="center"/>
    </xf>
    <xf numFmtId="0" fontId="0" fillId="0" borderId="39" xfId="0" applyBorder="1"/>
    <xf numFmtId="0" fontId="0" fillId="0" borderId="40" xfId="0" applyBorder="1"/>
    <xf numFmtId="0" fontId="0" fillId="0" borderId="41" xfId="0" applyBorder="1"/>
    <xf numFmtId="0" fontId="0" fillId="0" borderId="5" xfId="0" applyBorder="1" applyAlignment="1">
      <alignment horizontal="center" vertical="center"/>
    </xf>
    <xf numFmtId="0" fontId="0" fillId="0" borderId="14" xfId="0" applyBorder="1" applyAlignment="1">
      <alignment horizontal="center" vertical="center"/>
    </xf>
    <xf numFmtId="2" fontId="0" fillId="0" borderId="14" xfId="0" applyNumberFormat="1" applyBorder="1" applyAlignment="1">
      <alignment horizontal="center" vertical="center"/>
    </xf>
    <xf numFmtId="0" fontId="0" fillId="0" borderId="4" xfId="0" applyBorder="1" applyAlignment="1">
      <alignment horizontal="center" vertical="center"/>
    </xf>
    <xf numFmtId="2" fontId="0" fillId="0" borderId="4" xfId="0" applyNumberFormat="1" applyBorder="1" applyAlignment="1">
      <alignment horizontal="center" vertical="center"/>
    </xf>
    <xf numFmtId="0" fontId="0" fillId="0" borderId="0" xfId="0" applyNumberFormat="1" applyAlignment="1">
      <alignment horizontal="center" vertical="center"/>
    </xf>
    <xf numFmtId="0" fontId="0" fillId="0" borderId="10" xfId="0" applyBorder="1" applyAlignment="1">
      <alignment horizontal="center" vertical="center"/>
    </xf>
    <xf numFmtId="0" fontId="26" fillId="0" borderId="15" xfId="5" applyNumberFormat="1" applyBorder="1" applyAlignment="1">
      <alignment horizontal="center" vertical="center"/>
    </xf>
    <xf numFmtId="0" fontId="28" fillId="0" borderId="16" xfId="5" applyFont="1" applyBorder="1" applyAlignment="1">
      <alignment horizontal="center" vertical="center"/>
    </xf>
    <xf numFmtId="0" fontId="28" fillId="0" borderId="15" xfId="5" applyFont="1" applyBorder="1" applyAlignment="1">
      <alignment horizontal="center" vertical="center"/>
    </xf>
    <xf numFmtId="0" fontId="27" fillId="0" borderId="16" xfId="5" applyFont="1" applyBorder="1" applyAlignment="1">
      <alignment horizontal="center" vertical="center"/>
    </xf>
    <xf numFmtId="0" fontId="0" fillId="0" borderId="0" xfId="0" applyNumberFormat="1" applyBorder="1" applyAlignment="1">
      <alignment horizontal="center" vertical="center"/>
    </xf>
    <xf numFmtId="0" fontId="0" fillId="0" borderId="10" xfId="0" applyBorder="1" applyAlignment="1">
      <alignment vertical="center"/>
    </xf>
    <xf numFmtId="49" fontId="0" fillId="0" borderId="0" xfId="0" applyNumberFormat="1" applyAlignment="1">
      <alignment vertical="center"/>
    </xf>
    <xf numFmtId="0" fontId="26" fillId="0" borderId="15" xfId="5" applyBorder="1" applyAlignment="1">
      <alignment vertical="center"/>
    </xf>
    <xf numFmtId="0" fontId="26" fillId="0" borderId="15" xfId="5" applyBorder="1" applyAlignment="1">
      <alignment vertical="center" wrapText="1"/>
    </xf>
    <xf numFmtId="0" fontId="27" fillId="0" borderId="10" xfId="5" applyFont="1" applyBorder="1"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0" fillId="0" borderId="0" xfId="0" applyBorder="1" applyAlignment="1">
      <alignment vertical="center" wrapText="1"/>
    </xf>
    <xf numFmtId="0" fontId="0" fillId="0" borderId="0" xfId="0" applyAlignment="1">
      <alignment horizontal="right" vertical="center"/>
    </xf>
    <xf numFmtId="0" fontId="0" fillId="0" borderId="0" xfId="0" applyAlignment="1">
      <alignment vertical="center" wrapText="1"/>
    </xf>
    <xf numFmtId="49" fontId="0" fillId="0" borderId="0" xfId="0" applyNumberFormat="1" applyAlignment="1">
      <alignment horizontal="center" vertical="center"/>
    </xf>
    <xf numFmtId="49" fontId="0" fillId="0" borderId="0" xfId="0" applyNumberFormat="1" applyAlignment="1">
      <alignment horizontal="center"/>
    </xf>
    <xf numFmtId="0" fontId="14" fillId="0" borderId="0" xfId="0" applyFont="1" applyFill="1" applyAlignment="1">
      <alignment vertical="center"/>
    </xf>
    <xf numFmtId="0" fontId="0" fillId="0" borderId="0" xfId="0" applyAlignment="1">
      <alignment horizontal="left" vertical="top" wrapText="1"/>
    </xf>
    <xf numFmtId="0" fontId="13" fillId="0" borderId="0" xfId="3" applyFont="1" applyBorder="1" applyAlignment="1">
      <alignment vertical="center" wrapText="1"/>
    </xf>
    <xf numFmtId="0" fontId="0" fillId="0" borderId="0" xfId="0" applyAlignment="1">
      <alignment vertical="top" wrapText="1"/>
    </xf>
    <xf numFmtId="0" fontId="13" fillId="0" borderId="1" xfId="1" applyFont="1" applyFill="1" applyBorder="1" applyAlignment="1" applyProtection="1">
      <alignment horizontal="left" vertical="center" wrapText="1" indent="11"/>
    </xf>
    <xf numFmtId="0" fontId="14" fillId="0" borderId="5" xfId="1" applyFont="1" applyFill="1" applyBorder="1" applyAlignment="1" applyProtection="1">
      <alignment horizontal="left" vertical="center" indent="1"/>
      <protection locked="0"/>
    </xf>
    <xf numFmtId="0" fontId="39" fillId="0" borderId="6" xfId="0" applyFont="1" applyBorder="1" applyAlignment="1" applyProtection="1">
      <alignment horizontal="left" indent="1"/>
      <protection locked="0"/>
    </xf>
    <xf numFmtId="0" fontId="18" fillId="3" borderId="5" xfId="0" applyFont="1" applyFill="1" applyBorder="1" applyAlignment="1">
      <alignment horizontal="center"/>
    </xf>
    <xf numFmtId="0" fontId="18" fillId="3" borderId="6" xfId="0" applyFont="1" applyFill="1" applyBorder="1" applyAlignment="1">
      <alignment horizontal="center"/>
    </xf>
    <xf numFmtId="0" fontId="33" fillId="0" borderId="0" xfId="0" applyFont="1" applyBorder="1" applyAlignment="1">
      <alignment horizontal="left" wrapText="1" indent="2"/>
    </xf>
    <xf numFmtId="0" fontId="34" fillId="0" borderId="0" xfId="0" applyFont="1" applyBorder="1" applyAlignment="1">
      <alignment horizontal="left" wrapText="1" indent="2"/>
    </xf>
    <xf numFmtId="0" fontId="0" fillId="0" borderId="0" xfId="0" applyFont="1" applyAlignment="1">
      <alignment horizontal="center" vertical="center" wrapText="1"/>
    </xf>
    <xf numFmtId="0" fontId="17" fillId="7" borderId="0" xfId="3" applyFont="1" applyFill="1" applyBorder="1" applyAlignment="1">
      <alignment horizontal="left" vertical="center"/>
    </xf>
    <xf numFmtId="0" fontId="8" fillId="0" borderId="0" xfId="0" applyFont="1" applyAlignment="1">
      <alignment horizontal="center"/>
    </xf>
    <xf numFmtId="0" fontId="16" fillId="0" borderId="1" xfId="0" applyFont="1" applyBorder="1" applyAlignment="1">
      <alignment horizontal="left" vertical="center" wrapText="1" indent="14"/>
    </xf>
    <xf numFmtId="0" fontId="35" fillId="8" borderId="2" xfId="0" applyFont="1" applyFill="1" applyBorder="1" applyAlignment="1">
      <alignment horizontal="left" vertical="center" wrapText="1" indent="1"/>
    </xf>
    <xf numFmtId="0" fontId="35" fillId="8" borderId="0" xfId="0" applyFont="1" applyFill="1" applyBorder="1" applyAlignment="1">
      <alignment horizontal="left" vertical="center" wrapText="1" indent="1"/>
    </xf>
    <xf numFmtId="0" fontId="17" fillId="7" borderId="0" xfId="3" applyFont="1" applyFill="1" applyBorder="1" applyAlignment="1" applyProtection="1">
      <alignment horizontal="left" vertical="center" wrapText="1"/>
    </xf>
    <xf numFmtId="0" fontId="17" fillId="8" borderId="0" xfId="3" applyFont="1" applyFill="1" applyBorder="1" applyAlignment="1" applyProtection="1">
      <alignment horizontal="left" vertical="center"/>
    </xf>
    <xf numFmtId="0" fontId="20" fillId="8" borderId="0" xfId="3" applyFont="1" applyFill="1" applyBorder="1" applyAlignment="1" applyProtection="1">
      <alignment horizontal="left" vertical="center"/>
    </xf>
    <xf numFmtId="0" fontId="8" fillId="14" borderId="39" xfId="0" applyFont="1" applyFill="1" applyBorder="1" applyAlignment="1">
      <alignment horizontal="center" vertical="center"/>
    </xf>
    <xf numFmtId="0" fontId="8" fillId="14" borderId="41" xfId="0" applyFont="1" applyFill="1" applyBorder="1" applyAlignment="1">
      <alignment horizontal="center" vertical="center"/>
    </xf>
    <xf numFmtId="0" fontId="8" fillId="14" borderId="40" xfId="0" applyFont="1" applyFill="1" applyBorder="1" applyAlignment="1">
      <alignment horizontal="center" vertical="center"/>
    </xf>
    <xf numFmtId="0" fontId="8" fillId="14" borderId="50" xfId="0" applyFont="1" applyFill="1" applyBorder="1" applyAlignment="1">
      <alignment horizontal="center" vertical="center"/>
    </xf>
    <xf numFmtId="0" fontId="8" fillId="14" borderId="52" xfId="0" applyFont="1" applyFill="1" applyBorder="1" applyAlignment="1">
      <alignment horizontal="center" vertical="center"/>
    </xf>
    <xf numFmtId="0" fontId="8" fillId="14" borderId="51" xfId="0" applyFont="1" applyFill="1" applyBorder="1" applyAlignment="1">
      <alignment horizontal="center" vertical="center"/>
    </xf>
    <xf numFmtId="0" fontId="8" fillId="14" borderId="39" xfId="0" applyFont="1" applyFill="1" applyBorder="1" applyAlignment="1">
      <alignment horizontal="center"/>
    </xf>
    <xf numFmtId="0" fontId="8" fillId="14" borderId="40" xfId="0" applyFont="1" applyFill="1" applyBorder="1" applyAlignment="1">
      <alignment horizontal="center"/>
    </xf>
    <xf numFmtId="0" fontId="8" fillId="14" borderId="41" xfId="0" applyFont="1" applyFill="1" applyBorder="1" applyAlignment="1">
      <alignment horizontal="center"/>
    </xf>
    <xf numFmtId="0" fontId="8" fillId="14" borderId="45" xfId="0" applyFont="1" applyFill="1" applyBorder="1" applyAlignment="1">
      <alignment horizontal="center" vertical="center"/>
    </xf>
    <xf numFmtId="0" fontId="8" fillId="14" borderId="0" xfId="0" applyFont="1" applyFill="1" applyBorder="1" applyAlignment="1">
      <alignment horizontal="center" vertical="center"/>
    </xf>
    <xf numFmtId="0" fontId="8" fillId="14" borderId="11" xfId="0" applyFont="1" applyFill="1" applyBorder="1" applyAlignment="1">
      <alignment horizontal="center" vertical="center"/>
    </xf>
  </cellXfs>
  <cellStyles count="6">
    <cellStyle name="Heading 1" xfId="3" builtinId="16"/>
    <cellStyle name="Heading 2" xfId="4" builtinId="17"/>
    <cellStyle name="Heading 3" xfId="5" builtinId="18"/>
    <cellStyle name="Normal" xfId="0" builtinId="0"/>
    <cellStyle name="Normal 2" xfId="1" xr:uid="{00000000-0005-0000-0000-000004000000}"/>
    <cellStyle name="Normal 3" xfId="2" xr:uid="{00000000-0005-0000-0000-000005000000}"/>
  </cellStyles>
  <dxfs count="84">
    <dxf>
      <font>
        <b val="0"/>
        <i/>
        <strike val="0"/>
        <u val="none"/>
      </font>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8A6A6"/>
        </patternFill>
      </fill>
    </dxf>
    <dxf>
      <font>
        <b val="0"/>
        <i/>
        <strike val="0"/>
        <u val="none"/>
      </font>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8A6A6"/>
        </patternFill>
      </fill>
    </dxf>
    <dxf>
      <font>
        <b val="0"/>
        <i/>
        <strike val="0"/>
        <u val="none"/>
      </font>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8A6A6"/>
        </patternFill>
      </fill>
    </dxf>
    <dxf>
      <font>
        <b val="0"/>
        <i/>
        <strike val="0"/>
        <u val="none"/>
      </font>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8A6A6"/>
        </patternFill>
      </fill>
    </dxf>
    <dxf>
      <font>
        <b val="0"/>
        <i/>
        <strike val="0"/>
        <u val="none"/>
      </font>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8A6A6"/>
        </patternFill>
      </fill>
    </dxf>
    <dxf>
      <font>
        <b val="0"/>
        <i/>
        <strike val="0"/>
        <u val="none"/>
      </font>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8A6A6"/>
        </patternFill>
      </fill>
    </dxf>
    <dxf>
      <font>
        <b val="0"/>
        <i/>
        <strike val="0"/>
        <u val="none"/>
      </font>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8A6A6"/>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
      <fill>
        <patternFill>
          <bgColor theme="6" tint="0.39994506668294322"/>
        </patternFill>
      </fill>
    </dxf>
    <dxf>
      <font>
        <color theme="0" tint="-0.24994659260841701"/>
      </font>
      <fill>
        <patternFill patternType="none">
          <bgColor auto="1"/>
        </patternFill>
      </fill>
    </dxf>
  </dxfs>
  <tableStyles count="0" defaultTableStyle="TableStyleMedium2" defaultPivotStyle="PivotStyleLight16"/>
  <colors>
    <mruColors>
      <color rgb="FFE87727"/>
      <color rgb="FF638EC6"/>
      <color rgb="FFF8A6A6"/>
      <color rgb="FFF58383"/>
      <color rgb="FF00B050"/>
      <color rgb="FF3156BD"/>
      <color rgb="FF14989C"/>
      <color rgb="FF9AB0BB"/>
      <color rgb="FFB30F10"/>
      <color rgb="FF9CA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636846713772962"/>
          <c:y val="6.4422160007444024E-2"/>
          <c:w val="0.55997877307332677"/>
          <c:h val="0.63071355164240606"/>
        </c:manualLayout>
      </c:layout>
      <c:radarChart>
        <c:radarStyle val="marker"/>
        <c:varyColors val="0"/>
        <c:ser>
          <c:idx val="3"/>
          <c:order val="0"/>
          <c:spPr>
            <a:ln w="38100">
              <a:solidFill>
                <a:srgbClr val="00B050"/>
              </a:solidFill>
              <a:headEnd type="none" w="med" len="med"/>
              <a:tailEnd type="none" w="med" len="med"/>
            </a:ln>
          </c:spPr>
          <c:marker>
            <c:symbol val="circle"/>
            <c:size val="7"/>
            <c:spPr>
              <a:solidFill>
                <a:srgbClr val="00B050"/>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Results'!$AH$4:$AH$25</c:f>
              <c:numCache>
                <c:formatCode>General</c:formatCode>
                <c:ptCount val="22"/>
                <c:pt idx="0">
                  <c:v>4</c:v>
                </c:pt>
                <c:pt idx="1">
                  <c:v>4</c:v>
                </c:pt>
                <c:pt idx="2">
                  <c:v>4</c:v>
                </c:pt>
                <c:pt idx="3">
                  <c:v>4</c:v>
                </c:pt>
                <c:pt idx="4">
                  <c:v>4</c:v>
                </c:pt>
                <c:pt idx="5">
                  <c:v>4</c:v>
                </c:pt>
                <c:pt idx="6">
                  <c:v>4</c:v>
                </c:pt>
              </c:numCache>
            </c:numRef>
          </c:val>
          <c:extLst xmlns:c15="http://schemas.microsoft.com/office/drawing/2012/chart">
            <c:ext xmlns:c16="http://schemas.microsoft.com/office/drawing/2014/chart" uri="{C3380CC4-5D6E-409C-BE32-E72D297353CC}">
              <c16:uniqueId val="{00000000-D2A8-49B7-94A7-95F52A180508}"/>
            </c:ext>
          </c:extLst>
        </c:ser>
        <c:ser>
          <c:idx val="4"/>
          <c:order val="1"/>
          <c:spPr>
            <a:ln w="38100">
              <a:solidFill>
                <a:srgbClr val="00B050"/>
              </a:solidFill>
              <a:headEnd type="none"/>
              <a:tailEnd type="none"/>
            </a:ln>
          </c:spPr>
          <c:marker>
            <c:symbol val="circle"/>
            <c:size val="7"/>
            <c:spPr>
              <a:solidFill>
                <a:srgbClr val="00B050"/>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Results'!$AI$4:$AI$25</c:f>
              <c:numCache>
                <c:formatCode>General</c:formatCode>
                <c:ptCount val="22"/>
                <c:pt idx="7">
                  <c:v>4</c:v>
                </c:pt>
                <c:pt idx="8">
                  <c:v>4</c:v>
                </c:pt>
                <c:pt idx="9">
                  <c:v>4</c:v>
                </c:pt>
                <c:pt idx="10">
                  <c:v>4</c:v>
                </c:pt>
                <c:pt idx="11">
                  <c:v>4</c:v>
                </c:pt>
                <c:pt idx="12">
                  <c:v>4</c:v>
                </c:pt>
                <c:pt idx="13">
                  <c:v>4</c:v>
                </c:pt>
                <c:pt idx="14">
                  <c:v>4</c:v>
                </c:pt>
                <c:pt idx="15">
                  <c:v>4</c:v>
                </c:pt>
              </c:numCache>
            </c:numRef>
          </c:val>
          <c:extLst xmlns:c15="http://schemas.microsoft.com/office/drawing/2012/chart">
            <c:ext xmlns:c16="http://schemas.microsoft.com/office/drawing/2014/chart" uri="{C3380CC4-5D6E-409C-BE32-E72D297353CC}">
              <c16:uniqueId val="{00000001-D2A8-49B7-94A7-95F52A180508}"/>
            </c:ext>
          </c:extLst>
        </c:ser>
        <c:ser>
          <c:idx val="5"/>
          <c:order val="2"/>
          <c:spPr>
            <a:ln w="38100">
              <a:solidFill>
                <a:srgbClr val="00B050"/>
              </a:solidFill>
              <a:headEnd type="none"/>
              <a:tailEnd type="none"/>
            </a:ln>
          </c:spPr>
          <c:marker>
            <c:symbol val="circle"/>
            <c:size val="7"/>
            <c:spPr>
              <a:solidFill>
                <a:srgbClr val="00B050"/>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Results'!$AJ$4:$AJ$25</c:f>
              <c:numCache>
                <c:formatCode>General</c:formatCode>
                <c:ptCount val="22"/>
                <c:pt idx="16">
                  <c:v>4</c:v>
                </c:pt>
                <c:pt idx="17">
                  <c:v>4</c:v>
                </c:pt>
                <c:pt idx="18">
                  <c:v>4</c:v>
                </c:pt>
                <c:pt idx="19">
                  <c:v>4</c:v>
                </c:pt>
                <c:pt idx="20">
                  <c:v>4</c:v>
                </c:pt>
                <c:pt idx="21">
                  <c:v>4</c:v>
                </c:pt>
              </c:numCache>
            </c:numRef>
          </c:val>
          <c:extLst xmlns:c15="http://schemas.microsoft.com/office/drawing/2012/chart">
            <c:ext xmlns:c16="http://schemas.microsoft.com/office/drawing/2014/chart" uri="{C3380CC4-5D6E-409C-BE32-E72D297353CC}">
              <c16:uniqueId val="{00000002-D2A8-49B7-94A7-95F52A180508}"/>
            </c:ext>
          </c:extLst>
        </c:ser>
        <c:ser>
          <c:idx val="0"/>
          <c:order val="3"/>
          <c:spPr>
            <a:ln w="38100">
              <a:solidFill>
                <a:srgbClr val="3156BD"/>
              </a:solidFill>
              <a:headEnd type="none"/>
              <a:tailEnd type="none"/>
            </a:ln>
          </c:spPr>
          <c:marker>
            <c:symbol val="circle"/>
            <c:size val="7"/>
            <c:spPr>
              <a:solidFill>
                <a:srgbClr val="3156BD"/>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Results'!$AE$4:$AE$25</c:f>
              <c:numCache>
                <c:formatCode>General</c:formatCode>
                <c:ptCount val="22"/>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3-D2A8-49B7-94A7-95F52A180508}"/>
            </c:ext>
          </c:extLst>
        </c:ser>
        <c:ser>
          <c:idx val="1"/>
          <c:order val="4"/>
          <c:spPr>
            <a:ln w="38100">
              <a:solidFill>
                <a:srgbClr val="3156BD"/>
              </a:solidFill>
              <a:headEnd type="none"/>
              <a:tailEnd type="none"/>
            </a:ln>
          </c:spPr>
          <c:marker>
            <c:symbol val="circle"/>
            <c:size val="7"/>
            <c:spPr>
              <a:solidFill>
                <a:srgbClr val="3156BD"/>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Results'!$AF$4:$AF$25</c:f>
              <c:numCache>
                <c:formatCode>General</c:formatCode>
                <c:ptCount val="22"/>
                <c:pt idx="7">
                  <c:v>1</c:v>
                </c:pt>
                <c:pt idx="8">
                  <c:v>1</c:v>
                </c:pt>
                <c:pt idx="9">
                  <c:v>1</c:v>
                </c:pt>
                <c:pt idx="10">
                  <c:v>1</c:v>
                </c:pt>
                <c:pt idx="11">
                  <c:v>1</c:v>
                </c:pt>
                <c:pt idx="12">
                  <c:v>1</c:v>
                </c:pt>
                <c:pt idx="13">
                  <c:v>1</c:v>
                </c:pt>
                <c:pt idx="14">
                  <c:v>1</c:v>
                </c:pt>
                <c:pt idx="15">
                  <c:v>1</c:v>
                </c:pt>
              </c:numCache>
            </c:numRef>
          </c:val>
          <c:extLst>
            <c:ext xmlns:c16="http://schemas.microsoft.com/office/drawing/2014/chart" uri="{C3380CC4-5D6E-409C-BE32-E72D297353CC}">
              <c16:uniqueId val="{00000004-D2A8-49B7-94A7-95F52A180508}"/>
            </c:ext>
          </c:extLst>
        </c:ser>
        <c:ser>
          <c:idx val="2"/>
          <c:order val="5"/>
          <c:spPr>
            <a:ln w="38100">
              <a:solidFill>
                <a:srgbClr val="3156BD"/>
              </a:solidFill>
              <a:headEnd type="none"/>
              <a:tailEnd type="none"/>
            </a:ln>
          </c:spPr>
          <c:marker>
            <c:symbol val="circle"/>
            <c:size val="7"/>
            <c:spPr>
              <a:solidFill>
                <a:srgbClr val="3156BD"/>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Results'!$AG$4:$AG$25</c:f>
              <c:numCache>
                <c:formatCode>General</c:formatCode>
                <c:ptCount val="22"/>
                <c:pt idx="16">
                  <c:v>1</c:v>
                </c:pt>
                <c:pt idx="17">
                  <c:v>1</c:v>
                </c:pt>
                <c:pt idx="18">
                  <c:v>1</c:v>
                </c:pt>
                <c:pt idx="19">
                  <c:v>1</c:v>
                </c:pt>
                <c:pt idx="20">
                  <c:v>1</c:v>
                </c:pt>
                <c:pt idx="21">
                  <c:v>1</c:v>
                </c:pt>
              </c:numCache>
            </c:numRef>
          </c:val>
          <c:extLst>
            <c:ext xmlns:c16="http://schemas.microsoft.com/office/drawing/2014/chart" uri="{C3380CC4-5D6E-409C-BE32-E72D297353CC}">
              <c16:uniqueId val="{00000005-D2A8-49B7-94A7-95F52A180508}"/>
            </c:ext>
          </c:extLst>
        </c:ser>
        <c:ser>
          <c:idx val="6"/>
          <c:order val="6"/>
          <c:spPr>
            <a:ln w="38100">
              <a:solidFill>
                <a:srgbClr val="E87727"/>
              </a:solidFill>
            </a:ln>
          </c:spPr>
          <c:marker>
            <c:symbol val="circle"/>
            <c:size val="7"/>
            <c:spPr>
              <a:solidFill>
                <a:srgbClr val="E87727"/>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Results'!$AK$4:$AK$25</c:f>
              <c:numCache>
                <c:formatCode>0.00</c:formatCode>
                <c:ptCount val="22"/>
                <c:pt idx="0">
                  <c:v>3</c:v>
                </c:pt>
                <c:pt idx="1">
                  <c:v>3</c:v>
                </c:pt>
                <c:pt idx="2">
                  <c:v>3</c:v>
                </c:pt>
                <c:pt idx="3">
                  <c:v>3</c:v>
                </c:pt>
                <c:pt idx="4">
                  <c:v>3</c:v>
                </c:pt>
                <c:pt idx="5">
                  <c:v>3</c:v>
                </c:pt>
                <c:pt idx="6">
                  <c:v>3</c:v>
                </c:pt>
              </c:numCache>
            </c:numRef>
          </c:val>
          <c:extLst>
            <c:ext xmlns:c16="http://schemas.microsoft.com/office/drawing/2014/chart" uri="{C3380CC4-5D6E-409C-BE32-E72D297353CC}">
              <c16:uniqueId val="{00000006-D2A8-49B7-94A7-95F52A180508}"/>
            </c:ext>
          </c:extLst>
        </c:ser>
        <c:ser>
          <c:idx val="7"/>
          <c:order val="7"/>
          <c:spPr>
            <a:ln w="38100">
              <a:solidFill>
                <a:srgbClr val="E87727"/>
              </a:solidFill>
            </a:ln>
          </c:spPr>
          <c:marker>
            <c:symbol val="circle"/>
            <c:size val="7"/>
            <c:spPr>
              <a:solidFill>
                <a:srgbClr val="E87727"/>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Results'!$AL$4:$AL$25</c:f>
              <c:numCache>
                <c:formatCode>General</c:formatCode>
                <c:ptCount val="22"/>
                <c:pt idx="7" formatCode="0.00">
                  <c:v>3</c:v>
                </c:pt>
                <c:pt idx="8" formatCode="0.00">
                  <c:v>3</c:v>
                </c:pt>
                <c:pt idx="9" formatCode="0.00">
                  <c:v>3</c:v>
                </c:pt>
                <c:pt idx="10" formatCode="0.00">
                  <c:v>3</c:v>
                </c:pt>
                <c:pt idx="11" formatCode="0.00">
                  <c:v>3</c:v>
                </c:pt>
                <c:pt idx="12" formatCode="0.00">
                  <c:v>3</c:v>
                </c:pt>
                <c:pt idx="13" formatCode="0.00">
                  <c:v>3</c:v>
                </c:pt>
                <c:pt idx="14" formatCode="0.00">
                  <c:v>3</c:v>
                </c:pt>
                <c:pt idx="15" formatCode="0.00">
                  <c:v>3</c:v>
                </c:pt>
              </c:numCache>
            </c:numRef>
          </c:val>
          <c:extLst>
            <c:ext xmlns:c16="http://schemas.microsoft.com/office/drawing/2014/chart" uri="{C3380CC4-5D6E-409C-BE32-E72D297353CC}">
              <c16:uniqueId val="{00000007-D2A8-49B7-94A7-95F52A180508}"/>
            </c:ext>
          </c:extLst>
        </c:ser>
        <c:ser>
          <c:idx val="8"/>
          <c:order val="8"/>
          <c:spPr>
            <a:ln w="38100">
              <a:solidFill>
                <a:srgbClr val="E87727"/>
              </a:solidFill>
            </a:ln>
          </c:spPr>
          <c:marker>
            <c:symbol val="circle"/>
            <c:size val="7"/>
            <c:spPr>
              <a:solidFill>
                <a:srgbClr val="E87727"/>
              </a:solidFill>
              <a:ln>
                <a:noFill/>
              </a:ln>
            </c:spPr>
          </c:marker>
          <c:cat>
            <c:strRef>
              <c:f>'Aggregated Results'!$AB$4:$AB$25</c:f>
              <c:strCache>
                <c:ptCount val="22"/>
                <c:pt idx="0">
                  <c:v>A.1 - Maintain a technical security assurance framework</c:v>
                </c:pt>
                <c:pt idx="1">
                  <c:v>A.2 - Establish a penetration testing governance structure</c:v>
                </c:pt>
                <c:pt idx="2">
                  <c:v>A.3 - Evaluate drivers for conducting penetration tests</c:v>
                </c:pt>
                <c:pt idx="3">
                  <c:v>A.4 - Identify target environments</c:v>
                </c:pt>
                <c:pt idx="4">
                  <c:v>A.5 - Define the purpose of the penetration tests</c:v>
                </c:pt>
                <c:pt idx="5">
                  <c:v>A.6 - Produce requirements specifications</c:v>
                </c:pt>
                <c:pt idx="6">
                  <c:v>A.7 - Select suitable suppliers</c:v>
                </c:pt>
                <c:pt idx="7">
                  <c:v>B.1 - Agree testing style and type</c:v>
                </c:pt>
                <c:pt idx="8">
                  <c:v>B.2 - Identify testing constraints</c:v>
                </c:pt>
                <c:pt idx="9">
                  <c:v>B.3 - Produce scope statements</c:v>
                </c:pt>
                <c:pt idx="10">
                  <c:v>B.4 - Establish a management assurance framework</c:v>
                </c:pt>
                <c:pt idx="11">
                  <c:v>B.5 - Implement management control processes</c:v>
                </c:pt>
                <c:pt idx="12">
                  <c:v>B.6 - Use an effective testing methodology</c:v>
                </c:pt>
                <c:pt idx="13">
                  <c:v>B.7 - Conduct sufficient research and planning</c:v>
                </c:pt>
                <c:pt idx="14">
                  <c:v>B.8 - Identify and exploit vulnerabilities</c:v>
                </c:pt>
                <c:pt idx="15">
                  <c:v>B.9 - Report key findings</c:v>
                </c:pt>
                <c:pt idx="16">
                  <c:v>C.1 - Remediate weaknesses</c:v>
                </c:pt>
                <c:pt idx="17">
                  <c:v>C.2 - Address root causes of weaknesses</c:v>
                </c:pt>
                <c:pt idx="18">
                  <c:v>C.3 - Initiate improvement programme</c:v>
                </c:pt>
                <c:pt idx="19">
                  <c:v>C.4 - Evaluate penetration testing effectiveness</c:v>
                </c:pt>
                <c:pt idx="20">
                  <c:v>C.5 - Build on lessons learned</c:v>
                </c:pt>
                <c:pt idx="21">
                  <c:v>C.6 - Create and monitor action plans</c:v>
                </c:pt>
              </c:strCache>
            </c:strRef>
          </c:cat>
          <c:val>
            <c:numRef>
              <c:f>'Aggregated Results'!$AM$4:$AM$25</c:f>
              <c:numCache>
                <c:formatCode>General</c:formatCode>
                <c:ptCount val="22"/>
                <c:pt idx="16" formatCode="0.00">
                  <c:v>3</c:v>
                </c:pt>
                <c:pt idx="17" formatCode="0.00">
                  <c:v>3</c:v>
                </c:pt>
                <c:pt idx="18" formatCode="0.00">
                  <c:v>3</c:v>
                </c:pt>
                <c:pt idx="19" formatCode="0.00">
                  <c:v>3</c:v>
                </c:pt>
                <c:pt idx="20" formatCode="0.00">
                  <c:v>3</c:v>
                </c:pt>
                <c:pt idx="21" formatCode="0.00">
                  <c:v>3</c:v>
                </c:pt>
              </c:numCache>
            </c:numRef>
          </c:val>
          <c:extLst xmlns:c15="http://schemas.microsoft.com/office/drawing/2012/chart">
            <c:ext xmlns:c16="http://schemas.microsoft.com/office/drawing/2014/chart" uri="{C3380CC4-5D6E-409C-BE32-E72D297353CC}">
              <c16:uniqueId val="{00000008-D2A8-49B7-94A7-95F52A180508}"/>
            </c:ext>
          </c:extLst>
        </c:ser>
        <c:dLbls>
          <c:showLegendKey val="0"/>
          <c:showVal val="0"/>
          <c:showCatName val="0"/>
          <c:showSerName val="0"/>
          <c:showPercent val="0"/>
          <c:showBubbleSize val="0"/>
        </c:dLbls>
        <c:axId val="604601160"/>
        <c:axId val="604600768"/>
        <c:extLst/>
      </c:radarChart>
      <c:catAx>
        <c:axId val="604601160"/>
        <c:scaling>
          <c:orientation val="minMax"/>
        </c:scaling>
        <c:delete val="0"/>
        <c:axPos val="b"/>
        <c:majorGridlines/>
        <c:numFmt formatCode="General" sourceLinked="0"/>
        <c:majorTickMark val="out"/>
        <c:minorTickMark val="none"/>
        <c:tickLblPos val="nextTo"/>
        <c:txPr>
          <a:bodyPr/>
          <a:lstStyle/>
          <a:p>
            <a:pPr>
              <a:defRPr sz="1200" baseline="0"/>
            </a:pPr>
            <a:endParaRPr lang="en-US"/>
          </a:p>
        </c:txPr>
        <c:crossAx val="604600768"/>
        <c:crosses val="autoZero"/>
        <c:auto val="1"/>
        <c:lblAlgn val="ctr"/>
        <c:lblOffset val="100"/>
        <c:noMultiLvlLbl val="0"/>
      </c:catAx>
      <c:valAx>
        <c:axId val="604600768"/>
        <c:scaling>
          <c:orientation val="minMax"/>
          <c:max val="5"/>
          <c:min val="0"/>
        </c:scaling>
        <c:delete val="0"/>
        <c:axPos val="l"/>
        <c:majorGridlines>
          <c:spPr>
            <a:ln w="3175">
              <a:solidFill>
                <a:srgbClr val="C4C4C4"/>
              </a:solidFill>
            </a:ln>
          </c:spPr>
        </c:majorGridlines>
        <c:numFmt formatCode="0.00" sourceLinked="0"/>
        <c:majorTickMark val="cross"/>
        <c:minorTickMark val="none"/>
        <c:tickLblPos val="nextTo"/>
        <c:spPr>
          <a:ln>
            <a:solidFill>
              <a:srgbClr val="C4C4C4"/>
            </a:solidFill>
          </a:ln>
        </c:spPr>
        <c:txPr>
          <a:bodyPr/>
          <a:lstStyle/>
          <a:p>
            <a:pPr>
              <a:defRPr b="1" i="0" baseline="0"/>
            </a:pPr>
            <a:endParaRPr lang="en-US"/>
          </a:p>
        </c:txPr>
        <c:crossAx val="604601160"/>
        <c:crosses val="autoZero"/>
        <c:crossBetween val="between"/>
        <c:majorUnit val="1"/>
      </c:valAx>
    </c:plotArea>
    <c:plotVisOnly val="0"/>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12" dropStyle="combo" dx="16" fmlaLink="profile_sector" fmlaRange="sector_responses" noThreeD="1" sel="1" val="0"/>
</file>

<file path=xl/ctrlProps/ctrlProp10.xml><?xml version="1.0" encoding="utf-8"?>
<formControlPr xmlns="http://schemas.microsoft.com/office/spreadsheetml/2009/9/main" objectType="Drop" dropLines="12" dropStyle="combo" dx="16" fmlaLink="W20" fmlaRange="weighting_responses" noThreeD="1" sel="1" val="0"/>
</file>

<file path=xl/ctrlProps/ctrlProp100.xml><?xml version="1.0" encoding="utf-8"?>
<formControlPr xmlns="http://schemas.microsoft.com/office/spreadsheetml/2009/9/main" objectType="Drop" dropLines="12" dropStyle="combo" dx="16" fmlaLink="W164" fmlaRange="weighting_responses" noThreeD="1" sel="4" val="0"/>
</file>

<file path=xl/ctrlProps/ctrlProp101.xml><?xml version="1.0" encoding="utf-8"?>
<formControlPr xmlns="http://schemas.microsoft.com/office/spreadsheetml/2009/9/main" objectType="Drop" dropLines="12" dropStyle="combo" dx="16" fmlaLink="W165" fmlaRange="weighting_responses" noThreeD="1" sel="2" val="0"/>
</file>

<file path=xl/ctrlProps/ctrlProp102.xml><?xml version="1.0" encoding="utf-8"?>
<formControlPr xmlns="http://schemas.microsoft.com/office/spreadsheetml/2009/9/main" objectType="Drop" dropLines="12" dropStyle="combo" dx="16" fmlaLink="W166" fmlaRange="weighting_responses" noThreeD="1" sel="5" val="0"/>
</file>

<file path=xl/ctrlProps/ctrlProp103.xml><?xml version="1.0" encoding="utf-8"?>
<formControlPr xmlns="http://schemas.microsoft.com/office/spreadsheetml/2009/9/main" objectType="Drop" dropLines="12" dropStyle="combo" dx="16" fmlaLink="W169" fmlaRange="weighting_responses" noThreeD="1" sel="1" val="0"/>
</file>

<file path=xl/ctrlProps/ctrlProp104.xml><?xml version="1.0" encoding="utf-8"?>
<formControlPr xmlns="http://schemas.microsoft.com/office/spreadsheetml/2009/9/main" objectType="Drop" dropLines="12" dropStyle="combo" dx="16" fmlaLink="W170" fmlaRange="weighting_responses" noThreeD="1" sel="4" val="0"/>
</file>

<file path=xl/ctrlProps/ctrlProp105.xml><?xml version="1.0" encoding="utf-8"?>
<formControlPr xmlns="http://schemas.microsoft.com/office/spreadsheetml/2009/9/main" objectType="Drop" dropLines="12" dropStyle="combo" dx="16" fmlaLink="W172" fmlaRange="weighting_responses" noThreeD="1" sel="4" val="0"/>
</file>

<file path=xl/ctrlProps/ctrlProp106.xml><?xml version="1.0" encoding="utf-8"?>
<formControlPr xmlns="http://schemas.microsoft.com/office/spreadsheetml/2009/9/main" objectType="Drop" dropLines="12" dropStyle="combo" dx="16" fmlaLink="W173" fmlaRange="weighting_responses" noThreeD="1" sel="3" val="0"/>
</file>

<file path=xl/ctrlProps/ctrlProp107.xml><?xml version="1.0" encoding="utf-8"?>
<formControlPr xmlns="http://schemas.microsoft.com/office/spreadsheetml/2009/9/main" objectType="Drop" dropLines="12" dropStyle="combo" dx="16" fmlaLink="W174" fmlaRange="weighting_responses" noThreeD="1" sel="5" val="0"/>
</file>

<file path=xl/ctrlProps/ctrlProp108.xml><?xml version="1.0" encoding="utf-8"?>
<formControlPr xmlns="http://schemas.microsoft.com/office/spreadsheetml/2009/9/main" objectType="Drop" dropLines="12" dropStyle="combo" dx="16" fmlaLink="W178" fmlaRange="weighting_responses" noThreeD="1" sel="2" val="0"/>
</file>

<file path=xl/ctrlProps/ctrlProp109.xml><?xml version="1.0" encoding="utf-8"?>
<formControlPr xmlns="http://schemas.microsoft.com/office/spreadsheetml/2009/9/main" objectType="Drop" dropLines="12" dropStyle="combo" dx="16" fmlaLink="W179" fmlaRange="weighting_responses" noThreeD="1" sel="4" val="0"/>
</file>

<file path=xl/ctrlProps/ctrlProp11.xml><?xml version="1.0" encoding="utf-8"?>
<formControlPr xmlns="http://schemas.microsoft.com/office/spreadsheetml/2009/9/main" objectType="Drop" dropLines="12" dropStyle="combo" dx="16" fmlaLink="W22" fmlaRange="weighting_responses" noThreeD="1" sel="4" val="0"/>
</file>

<file path=xl/ctrlProps/ctrlProp110.xml><?xml version="1.0" encoding="utf-8"?>
<formControlPr xmlns="http://schemas.microsoft.com/office/spreadsheetml/2009/9/main" objectType="Drop" dropLines="12" dropStyle="combo" dx="16" fmlaLink="W182" fmlaRange="weighting_responses" noThreeD="1" sel="2" val="0"/>
</file>

<file path=xl/ctrlProps/ctrlProp111.xml><?xml version="1.0" encoding="utf-8"?>
<formControlPr xmlns="http://schemas.microsoft.com/office/spreadsheetml/2009/9/main" objectType="Drop" dropLines="12" dropStyle="combo" dx="16" fmlaLink="W183" fmlaRange="weighting_responses" noThreeD="1" sel="4" val="0"/>
</file>

<file path=xl/ctrlProps/ctrlProp112.xml><?xml version="1.0" encoding="utf-8"?>
<formControlPr xmlns="http://schemas.microsoft.com/office/spreadsheetml/2009/9/main" objectType="Drop" dropLines="12" dropStyle="combo" dx="16" fmlaLink="W186" fmlaRange="weighting_responses" noThreeD="1" sel="1" val="0"/>
</file>

<file path=xl/ctrlProps/ctrlProp113.xml><?xml version="1.0" encoding="utf-8"?>
<formControlPr xmlns="http://schemas.microsoft.com/office/spreadsheetml/2009/9/main" objectType="Drop" dropLines="12" dropStyle="combo" dx="16" fmlaLink="W187" fmlaRange="weighting_responses" noThreeD="1" sel="3" val="0"/>
</file>

<file path=xl/ctrlProps/ctrlProp114.xml><?xml version="1.0" encoding="utf-8"?>
<formControlPr xmlns="http://schemas.microsoft.com/office/spreadsheetml/2009/9/main" objectType="Drop" dropLines="12" dropStyle="combo" dx="16" fmlaLink="W188" fmlaRange="weighting_responses" noThreeD="1" sel="5" val="0"/>
</file>

<file path=xl/ctrlProps/ctrlProp115.xml><?xml version="1.0" encoding="utf-8"?>
<formControlPr xmlns="http://schemas.microsoft.com/office/spreadsheetml/2009/9/main" objectType="Drop" dropLines="12" dropStyle="combo" dx="16" fmlaLink="W191" fmlaRange="weighting_responses" noThreeD="1" sel="1" val="0"/>
</file>

<file path=xl/ctrlProps/ctrlProp116.xml><?xml version="1.0" encoding="utf-8"?>
<formControlPr xmlns="http://schemas.microsoft.com/office/spreadsheetml/2009/9/main" objectType="Drop" dropLines="12" dropStyle="combo" dx="16" fmlaLink="W192" fmlaRange="weighting_responses" noThreeD="1" sel="5" val="0"/>
</file>

<file path=xl/ctrlProps/ctrlProp117.xml><?xml version="1.0" encoding="utf-8"?>
<formControlPr xmlns="http://schemas.microsoft.com/office/spreadsheetml/2009/9/main" objectType="Drop" dropLines="12" dropStyle="combo" dx="16" fmlaLink="W195" fmlaRange="weighting_responses" noThreeD="1" sel="1" val="0"/>
</file>

<file path=xl/ctrlProps/ctrlProp118.xml><?xml version="1.0" encoding="utf-8"?>
<formControlPr xmlns="http://schemas.microsoft.com/office/spreadsheetml/2009/9/main" objectType="Drop" dropLines="12" dropStyle="combo" dx="16" fmlaLink="W196" fmlaRange="weighting_responses" noThreeD="1" sel="5" val="0"/>
</file>

<file path=xl/ctrlProps/ctrlProp119.xml><?xml version="1.0" encoding="utf-8"?>
<formControlPr xmlns="http://schemas.microsoft.com/office/spreadsheetml/2009/9/main" objectType="Drop" dropLines="12" dropStyle="combo" dx="16" fmlaLink="W197" fmlaRange="weighting_responses" noThreeD="1" sel="1" val="0"/>
</file>

<file path=xl/ctrlProps/ctrlProp12.xml><?xml version="1.0" encoding="utf-8"?>
<formControlPr xmlns="http://schemas.microsoft.com/office/spreadsheetml/2009/9/main" objectType="Drop" dropLines="12" dropStyle="combo" dx="16" fmlaLink="W24" fmlaRange="weighting_responses" noThreeD="1" sel="3" val="0"/>
</file>

<file path=xl/ctrlProps/ctrlProp120.xml><?xml version="1.0" encoding="utf-8"?>
<formControlPr xmlns="http://schemas.microsoft.com/office/spreadsheetml/2009/9/main" objectType="Drop" dropLines="12" dropStyle="combo" dx="16" fmlaLink="W198" fmlaRange="weighting_responses" noThreeD="1" sel="5" val="0"/>
</file>

<file path=xl/ctrlProps/ctrlProp121.xml><?xml version="1.0" encoding="utf-8"?>
<formControlPr xmlns="http://schemas.microsoft.com/office/spreadsheetml/2009/9/main" objectType="Drop" dropLines="12" dropStyle="combo" dx="16" fmlaLink="W200" fmlaRange="weighting_responses" noThreeD="1" sel="1" val="0"/>
</file>

<file path=xl/ctrlProps/ctrlProp122.xml><?xml version="1.0" encoding="utf-8"?>
<formControlPr xmlns="http://schemas.microsoft.com/office/spreadsheetml/2009/9/main" objectType="Drop" dropLines="12" dropStyle="combo" dx="16" fmlaLink="W201" fmlaRange="weighting_responses" noThreeD="1" sel="3" val="0"/>
</file>

<file path=xl/ctrlProps/ctrlProp123.xml><?xml version="1.0" encoding="utf-8"?>
<formControlPr xmlns="http://schemas.microsoft.com/office/spreadsheetml/2009/9/main" objectType="Drop" dropLines="12" dropStyle="combo" dx="16" fmlaLink="W202" fmlaRange="weighting_responses" noThreeD="1" sel="3" val="0"/>
</file>

<file path=xl/ctrlProps/ctrlProp124.xml><?xml version="1.0" encoding="utf-8"?>
<formControlPr xmlns="http://schemas.microsoft.com/office/spreadsheetml/2009/9/main" objectType="Drop" dropLines="12" dropStyle="combo" dx="16" fmlaLink="W203" fmlaRange="weighting_responses" noThreeD="1" sel="3" val="0"/>
</file>

<file path=xl/ctrlProps/ctrlProp125.xml><?xml version="1.0" encoding="utf-8"?>
<formControlPr xmlns="http://schemas.microsoft.com/office/spreadsheetml/2009/9/main" objectType="Drop" dropLines="12" dropStyle="combo" dx="16" fmlaLink="W204" fmlaRange="weighting_responses" noThreeD="1" sel="4" val="0"/>
</file>

<file path=xl/ctrlProps/ctrlProp126.xml><?xml version="1.0" encoding="utf-8"?>
<formControlPr xmlns="http://schemas.microsoft.com/office/spreadsheetml/2009/9/main" objectType="Drop" dropLines="12" dropStyle="combo" dx="16" fmlaLink="W205" fmlaRange="weighting_responses" noThreeD="1" sel="5" val="0"/>
</file>

<file path=xl/ctrlProps/ctrlProp127.xml><?xml version="1.0" encoding="utf-8"?>
<formControlPr xmlns="http://schemas.microsoft.com/office/spreadsheetml/2009/9/main" objectType="Drop" dropLines="12" dropStyle="combo" dx="16" fmlaLink="W10" fmlaRange="weighting_responses" noThreeD="1" sel="2" val="0"/>
</file>

<file path=xl/ctrlProps/ctrlProp128.xml><?xml version="1.0" encoding="utf-8"?>
<formControlPr xmlns="http://schemas.microsoft.com/office/spreadsheetml/2009/9/main" objectType="Drop" dropLines="12" dropStyle="combo" dx="16" fmlaLink="AH11" fmlaRange="maturity_response_frame" noThreeD="1" sel="1" val="0"/>
</file>

<file path=xl/ctrlProps/ctrlProp129.xml><?xml version="1.0" encoding="utf-8"?>
<formControlPr xmlns="http://schemas.microsoft.com/office/spreadsheetml/2009/9/main" objectType="Drop" dropLines="12" dropStyle="combo" dx="16" fmlaLink="AH12" fmlaRange="maturity_response_frame" noThreeD="1" sel="1" val="0"/>
</file>

<file path=xl/ctrlProps/ctrlProp13.xml><?xml version="1.0" encoding="utf-8"?>
<formControlPr xmlns="http://schemas.microsoft.com/office/spreadsheetml/2009/9/main" objectType="Drop" dropLines="12" dropStyle="combo" dx="16" fmlaLink="W25" fmlaRange="weighting_responses" noThreeD="1" sel="3" val="0"/>
</file>

<file path=xl/ctrlProps/ctrlProp130.xml><?xml version="1.0" encoding="utf-8"?>
<formControlPr xmlns="http://schemas.microsoft.com/office/spreadsheetml/2009/9/main" objectType="Drop" dropLines="12" dropStyle="combo" dx="16" fmlaLink="AH13" fmlaRange="maturity_response_frame" noThreeD="1" sel="1" val="0"/>
</file>

<file path=xl/ctrlProps/ctrlProp131.xml><?xml version="1.0" encoding="utf-8"?>
<formControlPr xmlns="http://schemas.microsoft.com/office/spreadsheetml/2009/9/main" objectType="Drop" dropLines="12" dropStyle="combo" dx="16" fmlaLink="AH15" fmlaRange="maturity_response_frame" noThreeD="1" sel="1" val="0"/>
</file>

<file path=xl/ctrlProps/ctrlProp132.xml><?xml version="1.0" encoding="utf-8"?>
<formControlPr xmlns="http://schemas.microsoft.com/office/spreadsheetml/2009/9/main" objectType="Drop" dropLines="12" dropStyle="combo" dx="16" fmlaLink="AH16" fmlaRange="maturity_response_frame" noThreeD="1" sel="1" val="0"/>
</file>

<file path=xl/ctrlProps/ctrlProp133.xml><?xml version="1.0" encoding="utf-8"?>
<formControlPr xmlns="http://schemas.microsoft.com/office/spreadsheetml/2009/9/main" objectType="Drop" dropLines="12" dropStyle="combo" dx="16" fmlaLink="AH19" fmlaRange="maturity_response_frame" noThreeD="1" sel="1" val="0"/>
</file>

<file path=xl/ctrlProps/ctrlProp134.xml><?xml version="1.0" encoding="utf-8"?>
<formControlPr xmlns="http://schemas.microsoft.com/office/spreadsheetml/2009/9/main" objectType="Drop" dropLines="12" dropStyle="combo" dx="16" fmlaLink="AH21" fmlaRange="maturity_response_frame" noThreeD="1" sel="1" val="0"/>
</file>

<file path=xl/ctrlProps/ctrlProp135.xml><?xml version="1.0" encoding="utf-8"?>
<formControlPr xmlns="http://schemas.microsoft.com/office/spreadsheetml/2009/9/main" objectType="Drop" dropLines="12" dropStyle="combo" dx="16" fmlaLink="AH23" fmlaRange="maturity_response_frame" noThreeD="1" sel="1" val="0"/>
</file>

<file path=xl/ctrlProps/ctrlProp136.xml><?xml version="1.0" encoding="utf-8"?>
<formControlPr xmlns="http://schemas.microsoft.com/office/spreadsheetml/2009/9/main" objectType="Drop" dropLines="12" dropStyle="combo" dx="16" fmlaLink="AH24" fmlaRange="maturity_response_frame" noThreeD="1" sel="1" val="0"/>
</file>

<file path=xl/ctrlProps/ctrlProp137.xml><?xml version="1.0" encoding="utf-8"?>
<formControlPr xmlns="http://schemas.microsoft.com/office/spreadsheetml/2009/9/main" objectType="Drop" dropLines="12" dropStyle="combo" dx="16" fmlaLink="AH25" fmlaRange="maturity_response_frame" noThreeD="1" sel="1" val="0"/>
</file>

<file path=xl/ctrlProps/ctrlProp138.xml><?xml version="1.0" encoding="utf-8"?>
<formControlPr xmlns="http://schemas.microsoft.com/office/spreadsheetml/2009/9/main" objectType="Drop" dropLines="12" dropStyle="combo" dx="16" fmlaLink="AH26" fmlaRange="maturity_response_frame" noThreeD="1" sel="1" val="0"/>
</file>

<file path=xl/ctrlProps/ctrlProp139.xml><?xml version="1.0" encoding="utf-8"?>
<formControlPr xmlns="http://schemas.microsoft.com/office/spreadsheetml/2009/9/main" objectType="Drop" dropLines="12" dropStyle="combo" dx="16" fmlaLink="AH27" fmlaRange="maturity_response_frame" noThreeD="1" sel="1" val="0"/>
</file>

<file path=xl/ctrlProps/ctrlProp14.xml><?xml version="1.0" encoding="utf-8"?>
<formControlPr xmlns="http://schemas.microsoft.com/office/spreadsheetml/2009/9/main" objectType="Drop" dropLines="12" dropStyle="combo" dx="16" fmlaLink="W26" fmlaRange="weighting_responses" noThreeD="1" sel="3" val="0"/>
</file>

<file path=xl/ctrlProps/ctrlProp140.xml><?xml version="1.0" encoding="utf-8"?>
<formControlPr xmlns="http://schemas.microsoft.com/office/spreadsheetml/2009/9/main" objectType="Drop" dropLines="12" dropStyle="combo" dx="16" fmlaLink="AH28" fmlaRange="maturity_response_frame" noThreeD="1" sel="1" val="0"/>
</file>

<file path=xl/ctrlProps/ctrlProp141.xml><?xml version="1.0" encoding="utf-8"?>
<formControlPr xmlns="http://schemas.microsoft.com/office/spreadsheetml/2009/9/main" objectType="Drop" dropLines="12" dropStyle="combo" dx="16" fmlaLink="AH31" fmlaRange="maturity_response_frame" noThreeD="1" sel="1" val="0"/>
</file>

<file path=xl/ctrlProps/ctrlProp142.xml><?xml version="1.0" encoding="utf-8"?>
<formControlPr xmlns="http://schemas.microsoft.com/office/spreadsheetml/2009/9/main" objectType="Drop" dropLines="12" dropStyle="combo" dx="16" fmlaLink="AH32" fmlaRange="maturity_response_frame" noThreeD="1" sel="1" val="0"/>
</file>

<file path=xl/ctrlProps/ctrlProp143.xml><?xml version="1.0" encoding="utf-8"?>
<formControlPr xmlns="http://schemas.microsoft.com/office/spreadsheetml/2009/9/main" objectType="Drop" dropLines="12" dropStyle="combo" dx="16" fmlaLink="AH34" fmlaRange="maturity_response_frame" noThreeD="1" sel="1" val="0"/>
</file>

<file path=xl/ctrlProps/ctrlProp144.xml><?xml version="1.0" encoding="utf-8"?>
<formControlPr xmlns="http://schemas.microsoft.com/office/spreadsheetml/2009/9/main" objectType="Drop" dropLines="12" dropStyle="combo" dx="16" fmlaLink="AH35" fmlaRange="maturity_response_frame" noThreeD="1" sel="1" val="0"/>
</file>

<file path=xl/ctrlProps/ctrlProp145.xml><?xml version="1.0" encoding="utf-8"?>
<formControlPr xmlns="http://schemas.microsoft.com/office/spreadsheetml/2009/9/main" objectType="Drop" dropLines="12" dropStyle="combo" dx="16" fmlaLink="AH36" fmlaRange="maturity_response_frame" noThreeD="1" sel="1" val="0"/>
</file>

<file path=xl/ctrlProps/ctrlProp146.xml><?xml version="1.0" encoding="utf-8"?>
<formControlPr xmlns="http://schemas.microsoft.com/office/spreadsheetml/2009/9/main" objectType="Drop" dropLines="12" dropStyle="combo" dx="16" fmlaLink="AH37" fmlaRange="maturity_response_frame" noThreeD="1" sel="1" val="0"/>
</file>

<file path=xl/ctrlProps/ctrlProp147.xml><?xml version="1.0" encoding="utf-8"?>
<formControlPr xmlns="http://schemas.microsoft.com/office/spreadsheetml/2009/9/main" objectType="Drop" dropLines="12" dropStyle="combo" dx="16" fmlaLink="AH39" fmlaRange="maturity_response_frame" noThreeD="1" sel="1" val="0"/>
</file>

<file path=xl/ctrlProps/ctrlProp148.xml><?xml version="1.0" encoding="utf-8"?>
<formControlPr xmlns="http://schemas.microsoft.com/office/spreadsheetml/2009/9/main" objectType="Drop" dropLines="12" dropStyle="combo" dx="16" fmlaLink="AH40" fmlaRange="maturity_response_frame" noThreeD="1" sel="1" val="0"/>
</file>

<file path=xl/ctrlProps/ctrlProp149.xml><?xml version="1.0" encoding="utf-8"?>
<formControlPr xmlns="http://schemas.microsoft.com/office/spreadsheetml/2009/9/main" objectType="Drop" dropLines="12" dropStyle="combo" dx="16" fmlaLink="AH41" fmlaRange="maturity_response_frame" noThreeD="1" sel="1" val="0"/>
</file>

<file path=xl/ctrlProps/ctrlProp15.xml><?xml version="1.0" encoding="utf-8"?>
<formControlPr xmlns="http://schemas.microsoft.com/office/spreadsheetml/2009/9/main" objectType="Drop" dropLines="12" dropStyle="combo" dx="16" fmlaLink="W27" fmlaRange="weighting_responses" noThreeD="1" sel="4" val="0"/>
</file>

<file path=xl/ctrlProps/ctrlProp150.xml><?xml version="1.0" encoding="utf-8"?>
<formControlPr xmlns="http://schemas.microsoft.com/office/spreadsheetml/2009/9/main" objectType="Drop" dropLines="12" dropStyle="combo" dx="16" fmlaLink="AH42" fmlaRange="maturity_response_frame" noThreeD="1" sel="1" val="0"/>
</file>

<file path=xl/ctrlProps/ctrlProp151.xml><?xml version="1.0" encoding="utf-8"?>
<formControlPr xmlns="http://schemas.microsoft.com/office/spreadsheetml/2009/9/main" objectType="Drop" dropLines="12" dropStyle="combo" dx="16" fmlaLink="AH43" fmlaRange="maturity_response_frame" noThreeD="1" sel="1" val="0"/>
</file>

<file path=xl/ctrlProps/ctrlProp152.xml><?xml version="1.0" encoding="utf-8"?>
<formControlPr xmlns="http://schemas.microsoft.com/office/spreadsheetml/2009/9/main" objectType="Drop" dropLines="12" dropStyle="combo" dx="16" fmlaLink="AH44" fmlaRange="maturity_response_frame" noThreeD="1" sel="1" val="0"/>
</file>

<file path=xl/ctrlProps/ctrlProp153.xml><?xml version="1.0" encoding="utf-8"?>
<formControlPr xmlns="http://schemas.microsoft.com/office/spreadsheetml/2009/9/main" objectType="Drop" dropLines="12" dropStyle="combo" dx="16" fmlaLink="AH46" fmlaRange="maturity_response_frame" noThreeD="1" sel="1" val="0"/>
</file>

<file path=xl/ctrlProps/ctrlProp154.xml><?xml version="1.0" encoding="utf-8"?>
<formControlPr xmlns="http://schemas.microsoft.com/office/spreadsheetml/2009/9/main" objectType="Drop" dropLines="12" dropStyle="combo" dx="16" fmlaLink="AH49" fmlaRange="maturity_response_frame" noThreeD="1" sel="1" val="0"/>
</file>

<file path=xl/ctrlProps/ctrlProp155.xml><?xml version="1.0" encoding="utf-8"?>
<formControlPr xmlns="http://schemas.microsoft.com/office/spreadsheetml/2009/9/main" objectType="Drop" dropLines="12" dropStyle="combo" dx="16" fmlaLink="AH51" fmlaRange="maturity_response_frame" noThreeD="1" sel="1" val="0"/>
</file>

<file path=xl/ctrlProps/ctrlProp156.xml><?xml version="1.0" encoding="utf-8"?>
<formControlPr xmlns="http://schemas.microsoft.com/office/spreadsheetml/2009/9/main" objectType="Drop" dropLines="12" dropStyle="combo" dx="16" fmlaLink="AH53" fmlaRange="maturity_response_frame" noThreeD="1" sel="1" val="0"/>
</file>

<file path=xl/ctrlProps/ctrlProp157.xml><?xml version="1.0" encoding="utf-8"?>
<formControlPr xmlns="http://schemas.microsoft.com/office/spreadsheetml/2009/9/main" objectType="Drop" dropLines="12" dropStyle="combo" dx="16" fmlaLink="AH55" fmlaRange="maturity_response_frame" noThreeD="1" sel="1" val="0"/>
</file>

<file path=xl/ctrlProps/ctrlProp158.xml><?xml version="1.0" encoding="utf-8"?>
<formControlPr xmlns="http://schemas.microsoft.com/office/spreadsheetml/2009/9/main" objectType="Drop" dropLines="12" dropStyle="combo" dx="16" fmlaLink="AH57" fmlaRange="maturity_response_frame" noThreeD="1" sel="1" val="0"/>
</file>

<file path=xl/ctrlProps/ctrlProp159.xml><?xml version="1.0" encoding="utf-8"?>
<formControlPr xmlns="http://schemas.microsoft.com/office/spreadsheetml/2009/9/main" objectType="Drop" dropLines="12" dropStyle="combo" dx="16" fmlaLink="AH59" fmlaRange="maturity_response_frame" noThreeD="1" sel="1" val="0"/>
</file>

<file path=xl/ctrlProps/ctrlProp16.xml><?xml version="1.0" encoding="utf-8"?>
<formControlPr xmlns="http://schemas.microsoft.com/office/spreadsheetml/2009/9/main" objectType="Drop" dropLines="12" dropStyle="combo" dx="16" fmlaLink="W28" fmlaRange="weighting_responses" noThreeD="1" sel="5" val="0"/>
</file>

<file path=xl/ctrlProps/ctrlProp160.xml><?xml version="1.0" encoding="utf-8"?>
<formControlPr xmlns="http://schemas.microsoft.com/office/spreadsheetml/2009/9/main" objectType="Drop" dropLines="12" dropStyle="combo" dx="16" fmlaLink="AH62" fmlaRange="maturity_response_frame" noThreeD="1" sel="1" val="0"/>
</file>

<file path=xl/ctrlProps/ctrlProp161.xml><?xml version="1.0" encoding="utf-8"?>
<formControlPr xmlns="http://schemas.microsoft.com/office/spreadsheetml/2009/9/main" objectType="Drop" dropLines="12" dropStyle="combo" dx="16" fmlaLink="AH63" fmlaRange="maturity_response_frame" noThreeD="1" sel="1" val="0"/>
</file>

<file path=xl/ctrlProps/ctrlProp162.xml><?xml version="1.0" encoding="utf-8"?>
<formControlPr xmlns="http://schemas.microsoft.com/office/spreadsheetml/2009/9/main" objectType="Drop" dropLines="12" dropStyle="combo" dx="16" fmlaLink="AH64" fmlaRange="maturity_response_frame" noThreeD="1" sel="1" val="0"/>
</file>

<file path=xl/ctrlProps/ctrlProp163.xml><?xml version="1.0" encoding="utf-8"?>
<formControlPr xmlns="http://schemas.microsoft.com/office/spreadsheetml/2009/9/main" objectType="Drop" dropLines="12" dropStyle="combo" dx="16" fmlaLink="AH65" fmlaRange="maturity_response_frame" noThreeD="1" sel="1" val="0"/>
</file>

<file path=xl/ctrlProps/ctrlProp164.xml><?xml version="1.0" encoding="utf-8"?>
<formControlPr xmlns="http://schemas.microsoft.com/office/spreadsheetml/2009/9/main" objectType="Drop" dropLines="12" dropStyle="combo" dx="16" fmlaLink="AH67" fmlaRange="maturity_response_frame" noThreeD="1" sel="1" val="0"/>
</file>

<file path=xl/ctrlProps/ctrlProp165.xml><?xml version="1.0" encoding="utf-8"?>
<formControlPr xmlns="http://schemas.microsoft.com/office/spreadsheetml/2009/9/main" objectType="Drop" dropLines="12" dropStyle="combo" dx="16" fmlaLink="AH69" fmlaRange="maturity_response_frame" noThreeD="1" sel="1" val="0"/>
</file>

<file path=xl/ctrlProps/ctrlProp166.xml><?xml version="1.0" encoding="utf-8"?>
<formControlPr xmlns="http://schemas.microsoft.com/office/spreadsheetml/2009/9/main" objectType="Drop" dropLines="12" dropStyle="combo" dx="16" fmlaLink="AH71" fmlaRange="maturity_response_frame" noThreeD="1" sel="1" val="0"/>
</file>

<file path=xl/ctrlProps/ctrlProp167.xml><?xml version="1.0" encoding="utf-8"?>
<formControlPr xmlns="http://schemas.microsoft.com/office/spreadsheetml/2009/9/main" objectType="Drop" dropLines="12" dropStyle="combo" dx="16" fmlaLink="AH73" fmlaRange="maturity_response_frame" noThreeD="1" sel="1" val="0"/>
</file>

<file path=xl/ctrlProps/ctrlProp168.xml><?xml version="1.0" encoding="utf-8"?>
<formControlPr xmlns="http://schemas.microsoft.com/office/spreadsheetml/2009/9/main" objectType="Drop" dropLines="12" dropStyle="combo" dx="16" fmlaLink="AH74" fmlaRange="maturity_response_frame" noThreeD="1" sel="1" val="0"/>
</file>

<file path=xl/ctrlProps/ctrlProp169.xml><?xml version="1.0" encoding="utf-8"?>
<formControlPr xmlns="http://schemas.microsoft.com/office/spreadsheetml/2009/9/main" objectType="Drop" dropLines="12" dropStyle="combo" dx="16" fmlaLink="AH75" fmlaRange="maturity_response_frame" noThreeD="1" sel="1" val="0"/>
</file>

<file path=xl/ctrlProps/ctrlProp17.xml><?xml version="1.0" encoding="utf-8"?>
<formControlPr xmlns="http://schemas.microsoft.com/office/spreadsheetml/2009/9/main" objectType="Drop" dropLines="12" dropStyle="combo" dx="16" fmlaLink="W29" fmlaRange="weighting_responses" noThreeD="1" sel="5" val="0"/>
</file>

<file path=xl/ctrlProps/ctrlProp170.xml><?xml version="1.0" encoding="utf-8"?>
<formControlPr xmlns="http://schemas.microsoft.com/office/spreadsheetml/2009/9/main" objectType="Drop" dropLines="12" dropStyle="combo" dx="16" fmlaLink="AH76" fmlaRange="maturity_response_frame" noThreeD="1" sel="1" val="0"/>
</file>

<file path=xl/ctrlProps/ctrlProp171.xml><?xml version="1.0" encoding="utf-8"?>
<formControlPr xmlns="http://schemas.microsoft.com/office/spreadsheetml/2009/9/main" objectType="Drop" dropLines="12" dropStyle="combo" dx="16" fmlaLink="AH9" fmlaRange="maturity_response_frame" noThreeD="1" sel="1" val="0"/>
</file>

<file path=xl/ctrlProps/ctrlProp172.xml><?xml version="1.0" encoding="utf-8"?>
<formControlPr xmlns="http://schemas.microsoft.com/office/spreadsheetml/2009/9/main" objectType="Drop" dropLines="12" dropStyle="combo" dx="16" fmlaLink="AH10" fmlaRange="maturity_response_frame" noThreeD="1" sel="1" val="0"/>
</file>

<file path=xl/ctrlProps/ctrlProp173.xml><?xml version="1.0" encoding="utf-8"?>
<formControlPr xmlns="http://schemas.microsoft.com/office/spreadsheetml/2009/9/main" objectType="Drop" dropLines="12" dropStyle="combo" dx="16" fmlaLink="AH11" fmlaRange="maturity_response_frame" noThreeD="1" sel="1" val="0"/>
</file>

<file path=xl/ctrlProps/ctrlProp174.xml><?xml version="1.0" encoding="utf-8"?>
<formControlPr xmlns="http://schemas.microsoft.com/office/spreadsheetml/2009/9/main" objectType="Drop" dropLines="12" dropStyle="combo" dx="16" fmlaLink="AH12" fmlaRange="maturity_response_frame" noThreeD="1" sel="1" val="0"/>
</file>

<file path=xl/ctrlProps/ctrlProp175.xml><?xml version="1.0" encoding="utf-8"?>
<formControlPr xmlns="http://schemas.microsoft.com/office/spreadsheetml/2009/9/main" objectType="Drop" dropLines="12" dropStyle="combo" dx="16" fmlaLink="AH13" fmlaRange="maturity_response_frame" noThreeD="1" sel="1" val="0"/>
</file>

<file path=xl/ctrlProps/ctrlProp176.xml><?xml version="1.0" encoding="utf-8"?>
<formControlPr xmlns="http://schemas.microsoft.com/office/spreadsheetml/2009/9/main" objectType="Drop" dropLines="12" dropStyle="combo" dx="16" fmlaLink="AH14" fmlaRange="maturity_response_frame" noThreeD="1" sel="1" val="0"/>
</file>

<file path=xl/ctrlProps/ctrlProp177.xml><?xml version="1.0" encoding="utf-8"?>
<formControlPr xmlns="http://schemas.microsoft.com/office/spreadsheetml/2009/9/main" objectType="Drop" dropLines="12" dropStyle="combo" dx="16" fmlaLink="AH16" fmlaRange="maturity_response_frame" noThreeD="1" sel="1" val="0"/>
</file>

<file path=xl/ctrlProps/ctrlProp178.xml><?xml version="1.0" encoding="utf-8"?>
<formControlPr xmlns="http://schemas.microsoft.com/office/spreadsheetml/2009/9/main" objectType="Drop" dropLines="12" dropStyle="combo" dx="16" fmlaLink="AH17" fmlaRange="maturity_response_frame" noThreeD="1" sel="1" val="0"/>
</file>

<file path=xl/ctrlProps/ctrlProp179.xml><?xml version="1.0" encoding="utf-8"?>
<formControlPr xmlns="http://schemas.microsoft.com/office/spreadsheetml/2009/9/main" objectType="Drop" dropLines="12" dropStyle="combo" dx="16" fmlaLink="AH19" fmlaRange="maturity_response_frame" noThreeD="1" sel="1" val="0"/>
</file>

<file path=xl/ctrlProps/ctrlProp18.xml><?xml version="1.0" encoding="utf-8"?>
<formControlPr xmlns="http://schemas.microsoft.com/office/spreadsheetml/2009/9/main" objectType="Drop" dropLines="12" dropStyle="combo" dx="16" fmlaLink="W32" fmlaRange="weighting_responses" noThreeD="1" sel="1" val="0"/>
</file>

<file path=xl/ctrlProps/ctrlProp180.xml><?xml version="1.0" encoding="utf-8"?>
<formControlPr xmlns="http://schemas.microsoft.com/office/spreadsheetml/2009/9/main" objectType="Drop" dropLines="12" dropStyle="combo" dx="16" fmlaLink="AH21" fmlaRange="maturity_response_frame" noThreeD="1" sel="1" val="0"/>
</file>

<file path=xl/ctrlProps/ctrlProp181.xml><?xml version="1.0" encoding="utf-8"?>
<formControlPr xmlns="http://schemas.microsoft.com/office/spreadsheetml/2009/9/main" objectType="Drop" dropLines="12" dropStyle="combo" dx="16" fmlaLink="AH23" fmlaRange="maturity_response_frame" noThreeD="1" sel="1" val="0"/>
</file>

<file path=xl/ctrlProps/ctrlProp182.xml><?xml version="1.0" encoding="utf-8"?>
<formControlPr xmlns="http://schemas.microsoft.com/office/spreadsheetml/2009/9/main" objectType="Drop" dropLines="12" dropStyle="combo" dx="16" fmlaLink="AH25" fmlaRange="maturity_response_frame" noThreeD="1" sel="1" val="0"/>
</file>

<file path=xl/ctrlProps/ctrlProp183.xml><?xml version="1.0" encoding="utf-8"?>
<formControlPr xmlns="http://schemas.microsoft.com/office/spreadsheetml/2009/9/main" objectType="Drop" dropLines="12" dropStyle="combo" dx="16" fmlaLink="AH27" fmlaRange="maturity_response_frame" noThreeD="1" sel="1" val="0"/>
</file>

<file path=xl/ctrlProps/ctrlProp184.xml><?xml version="1.0" encoding="utf-8"?>
<formControlPr xmlns="http://schemas.microsoft.com/office/spreadsheetml/2009/9/main" objectType="Drop" dropLines="12" dropStyle="combo" dx="16" fmlaLink="AH29" fmlaRange="maturity_response_frame" noThreeD="1" sel="1" val="0"/>
</file>

<file path=xl/ctrlProps/ctrlProp185.xml><?xml version="1.0" encoding="utf-8"?>
<formControlPr xmlns="http://schemas.microsoft.com/office/spreadsheetml/2009/9/main" objectType="Drop" dropLines="12" dropStyle="combo" dx="16" fmlaLink="AH31" fmlaRange="maturity_response_frame" noThreeD="1" sel="1" val="0"/>
</file>

<file path=xl/ctrlProps/ctrlProp186.xml><?xml version="1.0" encoding="utf-8"?>
<formControlPr xmlns="http://schemas.microsoft.com/office/spreadsheetml/2009/9/main" objectType="Drop" dropLines="12" dropStyle="combo" dx="16" fmlaLink="AH32" fmlaRange="maturity_response_frame" noThreeD="1" sel="1" val="0"/>
</file>

<file path=xl/ctrlProps/ctrlProp187.xml><?xml version="1.0" encoding="utf-8"?>
<formControlPr xmlns="http://schemas.microsoft.com/office/spreadsheetml/2009/9/main" objectType="Drop" dropLines="12" dropStyle="combo" dx="16" fmlaLink="AH34" fmlaRange="maturity_response_frame" noThreeD="1" sel="1" val="0"/>
</file>

<file path=xl/ctrlProps/ctrlProp188.xml><?xml version="1.0" encoding="utf-8"?>
<formControlPr xmlns="http://schemas.microsoft.com/office/spreadsheetml/2009/9/main" objectType="Drop" dropLines="12" dropStyle="combo" dx="16" fmlaLink="AH36" fmlaRange="maturity_response_frame" noThreeD="1" sel="1" val="0"/>
</file>

<file path=xl/ctrlProps/ctrlProp189.xml><?xml version="1.0" encoding="utf-8"?>
<formControlPr xmlns="http://schemas.microsoft.com/office/spreadsheetml/2009/9/main" objectType="Drop" dropLines="12" dropStyle="combo" dx="16" fmlaLink="AH38" fmlaRange="maturity_response_frame" noThreeD="1" sel="1" val="0"/>
</file>

<file path=xl/ctrlProps/ctrlProp19.xml><?xml version="1.0" encoding="utf-8"?>
<formControlPr xmlns="http://schemas.microsoft.com/office/spreadsheetml/2009/9/main" objectType="Drop" dropLines="12" dropStyle="combo" dx="16" fmlaLink="W33" fmlaRange="weighting_responses" noThreeD="1" sel="3" val="0"/>
</file>

<file path=xl/ctrlProps/ctrlProp190.xml><?xml version="1.0" encoding="utf-8"?>
<formControlPr xmlns="http://schemas.microsoft.com/office/spreadsheetml/2009/9/main" objectType="Drop" dropLines="12" dropStyle="combo" dx="16" fmlaLink="AH40" fmlaRange="maturity_response_frame" noThreeD="1" sel="1" val="0"/>
</file>

<file path=xl/ctrlProps/ctrlProp191.xml><?xml version="1.0" encoding="utf-8"?>
<formControlPr xmlns="http://schemas.microsoft.com/office/spreadsheetml/2009/9/main" objectType="Drop" dropLines="12" dropStyle="combo" dx="16" fmlaLink="AH42" fmlaRange="maturity_response_frame" noThreeD="1" sel="1" val="0"/>
</file>

<file path=xl/ctrlProps/ctrlProp192.xml><?xml version="1.0" encoding="utf-8"?>
<formControlPr xmlns="http://schemas.microsoft.com/office/spreadsheetml/2009/9/main" objectType="Drop" dropLines="12" dropStyle="combo" dx="16" fmlaLink="AH43" fmlaRange="maturity_response_frame" noThreeD="1" sel="1" val="0"/>
</file>

<file path=xl/ctrlProps/ctrlProp193.xml><?xml version="1.0" encoding="utf-8"?>
<formControlPr xmlns="http://schemas.microsoft.com/office/spreadsheetml/2009/9/main" objectType="Drop" dropLines="12" dropStyle="combo" dx="16" fmlaLink="AH45" fmlaRange="maturity_response_frame" noThreeD="1" sel="1" val="0"/>
</file>

<file path=xl/ctrlProps/ctrlProp194.xml><?xml version="1.0" encoding="utf-8"?>
<formControlPr xmlns="http://schemas.microsoft.com/office/spreadsheetml/2009/9/main" objectType="Drop" dropLines="12" dropStyle="combo" dx="16" fmlaLink="AH46" fmlaRange="maturity_response_frame" noThreeD="1" sel="1" val="0"/>
</file>

<file path=xl/ctrlProps/ctrlProp195.xml><?xml version="1.0" encoding="utf-8"?>
<formControlPr xmlns="http://schemas.microsoft.com/office/spreadsheetml/2009/9/main" objectType="Drop" dropLines="12" dropStyle="combo" dx="16" fmlaLink="AH47" fmlaRange="maturity_response_frame" noThreeD="1" sel="1" val="0"/>
</file>

<file path=xl/ctrlProps/ctrlProp196.xml><?xml version="1.0" encoding="utf-8"?>
<formControlPr xmlns="http://schemas.microsoft.com/office/spreadsheetml/2009/9/main" objectType="Drop" dropLines="12" dropStyle="combo" dx="16" fmlaLink="AH49" fmlaRange="maturity_response_frame" noThreeD="1" sel="1" val="0"/>
</file>

<file path=xl/ctrlProps/ctrlProp197.xml><?xml version="1.0" encoding="utf-8"?>
<formControlPr xmlns="http://schemas.microsoft.com/office/spreadsheetml/2009/9/main" objectType="Drop" dropLines="12" dropStyle="combo" dx="16" fmlaLink="AH51" fmlaRange="maturity_response_frame" noThreeD="1" sel="1" val="0"/>
</file>

<file path=xl/ctrlProps/ctrlProp198.xml><?xml version="1.0" encoding="utf-8"?>
<formControlPr xmlns="http://schemas.microsoft.com/office/spreadsheetml/2009/9/main" objectType="Drop" dropLines="12" dropStyle="combo" dx="16" fmlaLink="AH52" fmlaRange="maturity_response_frame" noThreeD="1" sel="1" val="0"/>
</file>

<file path=xl/ctrlProps/ctrlProp199.xml><?xml version="1.0" encoding="utf-8"?>
<formControlPr xmlns="http://schemas.microsoft.com/office/spreadsheetml/2009/9/main" objectType="Drop" dropLines="12" dropStyle="combo" dx="16" fmlaLink="AH54" fmlaRange="maturity_response_frame" noThreeD="1" sel="1" val="0"/>
</file>

<file path=xl/ctrlProps/ctrlProp2.xml><?xml version="1.0" encoding="utf-8"?>
<formControlPr xmlns="http://schemas.microsoft.com/office/spreadsheetml/2009/9/main" objectType="Drop" dropLines="12" dropStyle="combo" dx="16" fmlaLink="profile_size_of_business" fmlaRange="size_of_business_responses" noThreeD="1" sel="1" val="0"/>
</file>

<file path=xl/ctrlProps/ctrlProp20.xml><?xml version="1.0" encoding="utf-8"?>
<formControlPr xmlns="http://schemas.microsoft.com/office/spreadsheetml/2009/9/main" objectType="Drop" dropLines="12" dropStyle="combo" dx="16" fmlaLink="W35" fmlaRange="weighting_responses" noThreeD="1" sel="4" val="0"/>
</file>

<file path=xl/ctrlProps/ctrlProp200.xml><?xml version="1.0" encoding="utf-8"?>
<formControlPr xmlns="http://schemas.microsoft.com/office/spreadsheetml/2009/9/main" objectType="Drop" dropLines="12" dropStyle="combo" dx="16" fmlaLink="AH57" fmlaRange="maturity_response_frame" noThreeD="1" sel="1" val="0"/>
</file>

<file path=xl/ctrlProps/ctrlProp201.xml><?xml version="1.0" encoding="utf-8"?>
<formControlPr xmlns="http://schemas.microsoft.com/office/spreadsheetml/2009/9/main" objectType="Drop" dropLines="12" dropStyle="combo" dx="16" fmlaLink="AH58" fmlaRange="maturity_response_frame" noThreeD="1" sel="1" val="0"/>
</file>

<file path=xl/ctrlProps/ctrlProp202.xml><?xml version="1.0" encoding="utf-8"?>
<formControlPr xmlns="http://schemas.microsoft.com/office/spreadsheetml/2009/9/main" objectType="Drop" dropLines="12" dropStyle="combo" dx="16" fmlaLink="AH60" fmlaRange="maturity_response_frame" noThreeD="1" sel="1" val="0"/>
</file>

<file path=xl/ctrlProps/ctrlProp203.xml><?xml version="1.0" encoding="utf-8"?>
<formControlPr xmlns="http://schemas.microsoft.com/office/spreadsheetml/2009/9/main" objectType="Drop" dropLines="12" dropStyle="combo" dx="16" fmlaLink="AH61" fmlaRange="maturity_response_frame" noThreeD="1" sel="1" val="0"/>
</file>

<file path=xl/ctrlProps/ctrlProp204.xml><?xml version="1.0" encoding="utf-8"?>
<formControlPr xmlns="http://schemas.microsoft.com/office/spreadsheetml/2009/9/main" objectType="Drop" dropLines="12" dropStyle="combo" dx="16" fmlaLink="AH62" fmlaRange="maturity_response_frame" noThreeD="1" sel="1" val="0"/>
</file>

<file path=xl/ctrlProps/ctrlProp205.xml><?xml version="1.0" encoding="utf-8"?>
<formControlPr xmlns="http://schemas.microsoft.com/office/spreadsheetml/2009/9/main" objectType="Drop" dropLines="12" dropStyle="combo" dx="16" fmlaLink="AH64" fmlaRange="maturity_response_frame" noThreeD="1" sel="1" val="0"/>
</file>

<file path=xl/ctrlProps/ctrlProp206.xml><?xml version="1.0" encoding="utf-8"?>
<formControlPr xmlns="http://schemas.microsoft.com/office/spreadsheetml/2009/9/main" objectType="Drop" dropLines="12" dropStyle="combo" dx="16" fmlaLink="AH66" fmlaRange="maturity_response_frame" noThreeD="1" sel="1" val="0"/>
</file>

<file path=xl/ctrlProps/ctrlProp207.xml><?xml version="1.0" encoding="utf-8"?>
<formControlPr xmlns="http://schemas.microsoft.com/office/spreadsheetml/2009/9/main" objectType="Drop" dropLines="12" dropStyle="combo" dx="16" fmlaLink="AH68" fmlaRange="maturity_response_frame" noThreeD="1" sel="1" val="0"/>
</file>

<file path=xl/ctrlProps/ctrlProp208.xml><?xml version="1.0" encoding="utf-8"?>
<formControlPr xmlns="http://schemas.microsoft.com/office/spreadsheetml/2009/9/main" objectType="Drop" dropLines="12" dropStyle="combo" dx="16" fmlaLink="AH69" fmlaRange="maturity_response_frame" noThreeD="1" sel="1" val="0"/>
</file>

<file path=xl/ctrlProps/ctrlProp209.xml><?xml version="1.0" encoding="utf-8"?>
<formControlPr xmlns="http://schemas.microsoft.com/office/spreadsheetml/2009/9/main" objectType="Drop" dropLines="12" dropStyle="combo" dx="16" fmlaLink="AH71" fmlaRange="maturity_response_frame" noThreeD="1" sel="1" val="0"/>
</file>

<file path=xl/ctrlProps/ctrlProp21.xml><?xml version="1.0" encoding="utf-8"?>
<formControlPr xmlns="http://schemas.microsoft.com/office/spreadsheetml/2009/9/main" objectType="Drop" dropLines="12" dropStyle="combo" dx="16" fmlaLink="W36" fmlaRange="weighting_responses" noThreeD="1" sel="3" val="0"/>
</file>

<file path=xl/ctrlProps/ctrlProp210.xml><?xml version="1.0" encoding="utf-8"?>
<formControlPr xmlns="http://schemas.microsoft.com/office/spreadsheetml/2009/9/main" objectType="Drop" dropLines="12" dropStyle="combo" dx="16" fmlaLink="AH73" fmlaRange="maturity_response_frame" noThreeD="1" sel="1" val="0"/>
</file>

<file path=xl/ctrlProps/ctrlProp211.xml><?xml version="1.0" encoding="utf-8"?>
<formControlPr xmlns="http://schemas.microsoft.com/office/spreadsheetml/2009/9/main" objectType="Drop" dropLines="12" dropStyle="combo" dx="16" fmlaLink="AH75" fmlaRange="maturity_response_frame" noThreeD="1" sel="1" val="0"/>
</file>

<file path=xl/ctrlProps/ctrlProp212.xml><?xml version="1.0" encoding="utf-8"?>
<formControlPr xmlns="http://schemas.microsoft.com/office/spreadsheetml/2009/9/main" objectType="Drop" dropLines="12" dropStyle="combo" dx="16" fmlaLink="AH77" fmlaRange="maturity_response_frame" noThreeD="1" sel="1" val="0"/>
</file>

<file path=xl/ctrlProps/ctrlProp213.xml><?xml version="1.0" encoding="utf-8"?>
<formControlPr xmlns="http://schemas.microsoft.com/office/spreadsheetml/2009/9/main" objectType="Drop" dropLines="12" dropStyle="combo" dx="16" fmlaLink="AH79" fmlaRange="maturity_response_frame" noThreeD="1" sel="1" val="0"/>
</file>

<file path=xl/ctrlProps/ctrlProp214.xml><?xml version="1.0" encoding="utf-8"?>
<formControlPr xmlns="http://schemas.microsoft.com/office/spreadsheetml/2009/9/main" objectType="Drop" dropLines="12" dropStyle="combo" dx="16" fmlaLink="AH80" fmlaRange="maturity_response_frame" noThreeD="1" sel="1" val="0"/>
</file>

<file path=xl/ctrlProps/ctrlProp215.xml><?xml version="1.0" encoding="utf-8"?>
<formControlPr xmlns="http://schemas.microsoft.com/office/spreadsheetml/2009/9/main" objectType="Drop" dropLines="12" dropStyle="combo" dx="16" fmlaLink="AH81" fmlaRange="maturity_response_frame" noThreeD="1" sel="1" val="0"/>
</file>

<file path=xl/ctrlProps/ctrlProp216.xml><?xml version="1.0" encoding="utf-8"?>
<formControlPr xmlns="http://schemas.microsoft.com/office/spreadsheetml/2009/9/main" objectType="Drop" dropLines="12" dropStyle="combo" dx="16" fmlaLink="AH83" fmlaRange="maturity_response_frame" noThreeD="1" sel="1" val="0"/>
</file>

<file path=xl/ctrlProps/ctrlProp217.xml><?xml version="1.0" encoding="utf-8"?>
<formControlPr xmlns="http://schemas.microsoft.com/office/spreadsheetml/2009/9/main" objectType="Drop" dropLines="12" dropStyle="combo" dx="16" fmlaLink="AH84" fmlaRange="maturity_response_frame" noThreeD="1" sel="1" val="0"/>
</file>

<file path=xl/ctrlProps/ctrlProp218.xml><?xml version="1.0" encoding="utf-8"?>
<formControlPr xmlns="http://schemas.microsoft.com/office/spreadsheetml/2009/9/main" objectType="Drop" dropLines="12" dropStyle="combo" dx="16" fmlaLink="AH86" fmlaRange="maturity_response_frame" noThreeD="1" sel="1" val="0"/>
</file>

<file path=xl/ctrlProps/ctrlProp219.xml><?xml version="1.0" encoding="utf-8"?>
<formControlPr xmlns="http://schemas.microsoft.com/office/spreadsheetml/2009/9/main" objectType="Drop" dropLines="12" dropStyle="combo" dx="16" fmlaLink="AH88" fmlaRange="maturity_response_frame" noThreeD="1" sel="1" val="0"/>
</file>

<file path=xl/ctrlProps/ctrlProp22.xml><?xml version="1.0" encoding="utf-8"?>
<formControlPr xmlns="http://schemas.microsoft.com/office/spreadsheetml/2009/9/main" objectType="Drop" dropLines="12" dropStyle="combo" dx="16" fmlaLink="W37" fmlaRange="weighting_responses" noThreeD="1" sel="4" val="0"/>
</file>

<file path=xl/ctrlProps/ctrlProp220.xml><?xml version="1.0" encoding="utf-8"?>
<formControlPr xmlns="http://schemas.microsoft.com/office/spreadsheetml/2009/9/main" objectType="Drop" dropLines="12" dropStyle="combo" dx="16" fmlaLink="AH90" fmlaRange="maturity_response_frame" noThreeD="1" sel="1" val="0"/>
</file>

<file path=xl/ctrlProps/ctrlProp221.xml><?xml version="1.0" encoding="utf-8"?>
<formControlPr xmlns="http://schemas.microsoft.com/office/spreadsheetml/2009/9/main" objectType="Drop" dropLines="12" dropStyle="combo" dx="16" fmlaLink="AH91" fmlaRange="maturity_response_frame" noThreeD="1" sel="1" val="0"/>
</file>

<file path=xl/ctrlProps/ctrlProp222.xml><?xml version="1.0" encoding="utf-8"?>
<formControlPr xmlns="http://schemas.microsoft.com/office/spreadsheetml/2009/9/main" objectType="Drop" dropLines="12" dropStyle="combo" dx="16" fmlaLink="AH92" fmlaRange="maturity_response_frame" noThreeD="1" sel="1" val="0"/>
</file>

<file path=xl/ctrlProps/ctrlProp223.xml><?xml version="1.0" encoding="utf-8"?>
<formControlPr xmlns="http://schemas.microsoft.com/office/spreadsheetml/2009/9/main" objectType="Drop" dropLines="12" dropStyle="combo" dx="16" fmlaLink="AH93" fmlaRange="maturity_response_frame" noThreeD="1" sel="1" val="0"/>
</file>

<file path=xl/ctrlProps/ctrlProp224.xml><?xml version="1.0" encoding="utf-8"?>
<formControlPr xmlns="http://schemas.microsoft.com/office/spreadsheetml/2009/9/main" objectType="Drop" dropLines="12" dropStyle="combo" dx="16" fmlaLink="AH94" fmlaRange="maturity_response_frame" noThreeD="1" sel="1" val="0"/>
</file>

<file path=xl/ctrlProps/ctrlProp225.xml><?xml version="1.0" encoding="utf-8"?>
<formControlPr xmlns="http://schemas.microsoft.com/office/spreadsheetml/2009/9/main" objectType="Drop" dropLines="12" dropStyle="combo" dx="16" fmlaLink="AH95" fmlaRange="maturity_response_frame" noThreeD="1" sel="1" val="0"/>
</file>

<file path=xl/ctrlProps/ctrlProp226.xml><?xml version="1.0" encoding="utf-8"?>
<formControlPr xmlns="http://schemas.microsoft.com/office/spreadsheetml/2009/9/main" objectType="Drop" dropLines="12" dropStyle="combo" dx="16" fmlaLink="AH98" fmlaRange="maturity_response_frame" noThreeD="1" sel="1" val="0"/>
</file>

<file path=xl/ctrlProps/ctrlProp227.xml><?xml version="1.0" encoding="utf-8"?>
<formControlPr xmlns="http://schemas.microsoft.com/office/spreadsheetml/2009/9/main" objectType="Drop" dropLines="12" dropStyle="combo" dx="16" fmlaLink="AH99" fmlaRange="maturity_response_frame" noThreeD="1" sel="1" val="0"/>
</file>

<file path=xl/ctrlProps/ctrlProp228.xml><?xml version="1.0" encoding="utf-8"?>
<formControlPr xmlns="http://schemas.microsoft.com/office/spreadsheetml/2009/9/main" objectType="Drop" dropLines="12" dropStyle="combo" dx="16" fmlaLink="AH101" fmlaRange="maturity_response_frame" noThreeD="1" sel="1" val="0"/>
</file>

<file path=xl/ctrlProps/ctrlProp229.xml><?xml version="1.0" encoding="utf-8"?>
<formControlPr xmlns="http://schemas.microsoft.com/office/spreadsheetml/2009/9/main" objectType="Drop" dropLines="12" dropStyle="combo" dx="16" fmlaLink="AH102" fmlaRange="maturity_response_frame" noThreeD="1" sel="1" val="0"/>
</file>

<file path=xl/ctrlProps/ctrlProp23.xml><?xml version="1.0" encoding="utf-8"?>
<formControlPr xmlns="http://schemas.microsoft.com/office/spreadsheetml/2009/9/main" objectType="Drop" dropLines="12" dropStyle="combo" dx="16" fmlaLink="W38" fmlaRange="weighting_responses" noThreeD="1" sel="5" val="0"/>
</file>

<file path=xl/ctrlProps/ctrlProp230.xml><?xml version="1.0" encoding="utf-8"?>
<formControlPr xmlns="http://schemas.microsoft.com/office/spreadsheetml/2009/9/main" objectType="Drop" dropLines="12" dropStyle="combo" dx="16" fmlaLink="AH103" fmlaRange="maturity_response_frame" noThreeD="1" sel="1" val="0"/>
</file>

<file path=xl/ctrlProps/ctrlProp231.xml><?xml version="1.0" encoding="utf-8"?>
<formControlPr xmlns="http://schemas.microsoft.com/office/spreadsheetml/2009/9/main" objectType="Drop" dropLines="12" dropStyle="combo" dx="16" fmlaLink="AH9" fmlaRange="maturity_response_frame" noThreeD="1" sel="1" val="0"/>
</file>

<file path=xl/ctrlProps/ctrlProp232.xml><?xml version="1.0" encoding="utf-8"?>
<formControlPr xmlns="http://schemas.microsoft.com/office/spreadsheetml/2009/9/main" objectType="Drop" dropLines="12" dropStyle="combo" dx="16" fmlaLink="AH10" fmlaRange="maturity_response_frame" noThreeD="1" sel="1" val="0"/>
</file>

<file path=xl/ctrlProps/ctrlProp233.xml><?xml version="1.0" encoding="utf-8"?>
<formControlPr xmlns="http://schemas.microsoft.com/office/spreadsheetml/2009/9/main" objectType="Drop" dropLines="12" dropStyle="combo" dx="16" fmlaLink="AH13" fmlaRange="maturity_response_frame" noThreeD="1" sel="1" val="0"/>
</file>

<file path=xl/ctrlProps/ctrlProp234.xml><?xml version="1.0" encoding="utf-8"?>
<formControlPr xmlns="http://schemas.microsoft.com/office/spreadsheetml/2009/9/main" objectType="Drop" dropLines="12" dropStyle="combo" dx="16" fmlaLink="AH14" fmlaRange="maturity_response_frame" noThreeD="1" sel="1" val="0"/>
</file>

<file path=xl/ctrlProps/ctrlProp235.xml><?xml version="1.0" encoding="utf-8"?>
<formControlPr xmlns="http://schemas.microsoft.com/office/spreadsheetml/2009/9/main" objectType="Drop" dropLines="12" dropStyle="combo" dx="16" fmlaLink="AH17" fmlaRange="maturity_response_frame" noThreeD="1" sel="1" val="0"/>
</file>

<file path=xl/ctrlProps/ctrlProp236.xml><?xml version="1.0" encoding="utf-8"?>
<formControlPr xmlns="http://schemas.microsoft.com/office/spreadsheetml/2009/9/main" objectType="Drop" dropLines="12" dropStyle="combo" dx="16" fmlaLink="AH18" fmlaRange="maturity_response_frame" noThreeD="1" sel="1" val="0"/>
</file>

<file path=xl/ctrlProps/ctrlProp237.xml><?xml version="1.0" encoding="utf-8"?>
<formControlPr xmlns="http://schemas.microsoft.com/office/spreadsheetml/2009/9/main" objectType="Drop" dropLines="12" dropStyle="combo" dx="16" fmlaLink="AH19" fmlaRange="maturity_response_frame" noThreeD="1" sel="1" val="0"/>
</file>

<file path=xl/ctrlProps/ctrlProp238.xml><?xml version="1.0" encoding="utf-8"?>
<formControlPr xmlns="http://schemas.microsoft.com/office/spreadsheetml/2009/9/main" objectType="Drop" dropLines="12" dropStyle="combo" dx="16" fmlaLink="AH22" fmlaRange="maturity_response_frame" noThreeD="1" sel="1" val="0"/>
</file>

<file path=xl/ctrlProps/ctrlProp239.xml><?xml version="1.0" encoding="utf-8"?>
<formControlPr xmlns="http://schemas.microsoft.com/office/spreadsheetml/2009/9/main" objectType="Drop" dropLines="12" dropStyle="combo" dx="16" fmlaLink="AH23" fmlaRange="maturity_response_frame" noThreeD="1" sel="1" val="0"/>
</file>

<file path=xl/ctrlProps/ctrlProp24.xml><?xml version="1.0" encoding="utf-8"?>
<formControlPr xmlns="http://schemas.microsoft.com/office/spreadsheetml/2009/9/main" objectType="Drop" dropLines="12" dropStyle="combo" dx="16" fmlaLink="W40" fmlaRange="weighting_responses" noThreeD="1" sel="1" val="0"/>
</file>

<file path=xl/ctrlProps/ctrlProp240.xml><?xml version="1.0" encoding="utf-8"?>
<formControlPr xmlns="http://schemas.microsoft.com/office/spreadsheetml/2009/9/main" objectType="Drop" dropLines="12" dropStyle="combo" dx="16" fmlaLink="AH26" fmlaRange="maturity_response_frame" noThreeD="1" sel="1" val="0"/>
</file>

<file path=xl/ctrlProps/ctrlProp241.xml><?xml version="1.0" encoding="utf-8"?>
<formControlPr xmlns="http://schemas.microsoft.com/office/spreadsheetml/2009/9/main" objectType="Drop" dropLines="12" dropStyle="combo" dx="16" fmlaLink="AH27" fmlaRange="maturity_response_frame" noThreeD="1" sel="1" val="0"/>
</file>

<file path=xl/ctrlProps/ctrlProp242.xml><?xml version="1.0" encoding="utf-8"?>
<formControlPr xmlns="http://schemas.microsoft.com/office/spreadsheetml/2009/9/main" objectType="Drop" dropLines="12" dropStyle="combo" dx="16" fmlaLink="AH28" fmlaRange="maturity_response_frame" noThreeD="1" sel="1" val="0"/>
</file>

<file path=xl/ctrlProps/ctrlProp243.xml><?xml version="1.0" encoding="utf-8"?>
<formControlPr xmlns="http://schemas.microsoft.com/office/spreadsheetml/2009/9/main" objectType="Drop" dropLines="12" dropStyle="combo" dx="16" fmlaLink="AH29" fmlaRange="maturity_response_frame" noThreeD="1" sel="1" val="0"/>
</file>

<file path=xl/ctrlProps/ctrlProp244.xml><?xml version="1.0" encoding="utf-8"?>
<formControlPr xmlns="http://schemas.microsoft.com/office/spreadsheetml/2009/9/main" objectType="Drop" dropLines="12" dropStyle="combo" dx="16" fmlaLink="AH31" fmlaRange="maturity_response_frame" noThreeD="1" sel="1" val="0"/>
</file>

<file path=xl/ctrlProps/ctrlProp245.xml><?xml version="1.0" encoding="utf-8"?>
<formControlPr xmlns="http://schemas.microsoft.com/office/spreadsheetml/2009/9/main" objectType="Drop" dropLines="12" dropStyle="combo" dx="16" fmlaLink="AH32" fmlaRange="maturity_response_frame" noThreeD="1" sel="1" val="0"/>
</file>

<file path=xl/ctrlProps/ctrlProp246.xml><?xml version="1.0" encoding="utf-8"?>
<formControlPr xmlns="http://schemas.microsoft.com/office/spreadsheetml/2009/9/main" objectType="Drop" dropLines="12" dropStyle="combo" dx="16" fmlaLink="AH33" fmlaRange="maturity_response_frame" noThreeD="1" sel="1" val="0"/>
</file>

<file path=xl/ctrlProps/ctrlProp247.xml><?xml version="1.0" encoding="utf-8"?>
<formControlPr xmlns="http://schemas.microsoft.com/office/spreadsheetml/2009/9/main" objectType="Drop" dropLines="12" dropStyle="combo" dx="16" fmlaLink="AH34" fmlaRange="maturity_response_frame" noThreeD="1" sel="1" val="0"/>
</file>

<file path=xl/ctrlProps/ctrlProp248.xml><?xml version="1.0" encoding="utf-8"?>
<formControlPr xmlns="http://schemas.microsoft.com/office/spreadsheetml/2009/9/main" objectType="Drop" dropLines="12" dropStyle="combo" dx="16" fmlaLink="AH35" fmlaRange="maturity_response_frame" noThreeD="1" sel="1" val="0"/>
</file>

<file path=xl/ctrlProps/ctrlProp249.xml><?xml version="1.0" encoding="utf-8"?>
<formControlPr xmlns="http://schemas.microsoft.com/office/spreadsheetml/2009/9/main" objectType="Drop" dropLines="12" dropStyle="combo" dx="16" fmlaLink="AH36" fmlaRange="maturity_response_frame" noThreeD="1" sel="1" val="0"/>
</file>

<file path=xl/ctrlProps/ctrlProp25.xml><?xml version="1.0" encoding="utf-8"?>
<formControlPr xmlns="http://schemas.microsoft.com/office/spreadsheetml/2009/9/main" objectType="Drop" dropLines="12" dropStyle="combo" dx="16" fmlaLink="W41" fmlaRange="weighting_responses" noThreeD="1" sel="2" val="0"/>
</file>

<file path=xl/ctrlProps/ctrlProp250.xml><?xml version="1.0" encoding="utf-8"?>
<formControlPr xmlns="http://schemas.microsoft.com/office/spreadsheetml/2009/9/main" objectType="Drop" dropLines="12" dropStyle="combo" dx="16" fmlaLink="AH9" fmlaRange="maturity_response_frame" noThreeD="1" sel="1" val="0"/>
</file>

<file path=xl/ctrlProps/ctrlProp26.xml><?xml version="1.0" encoding="utf-8"?>
<formControlPr xmlns="http://schemas.microsoft.com/office/spreadsheetml/2009/9/main" objectType="Drop" dropLines="12" dropStyle="combo" dx="16" fmlaLink="W42" fmlaRange="weighting_responses" noThreeD="1" sel="3" val="0"/>
</file>

<file path=xl/ctrlProps/ctrlProp27.xml><?xml version="1.0" encoding="utf-8"?>
<formControlPr xmlns="http://schemas.microsoft.com/office/spreadsheetml/2009/9/main" objectType="Drop" dropLines="12" dropStyle="combo" dx="16" fmlaLink="W43" fmlaRange="weighting_responses" noThreeD="1" sel="4" val="0"/>
</file>

<file path=xl/ctrlProps/ctrlProp28.xml><?xml version="1.0" encoding="utf-8"?>
<formControlPr xmlns="http://schemas.microsoft.com/office/spreadsheetml/2009/9/main" objectType="Drop" dropLines="12" dropStyle="combo" dx="16" fmlaLink="W44" fmlaRange="weighting_responses" noThreeD="1" sel="4" val="0"/>
</file>

<file path=xl/ctrlProps/ctrlProp29.xml><?xml version="1.0" encoding="utf-8"?>
<formControlPr xmlns="http://schemas.microsoft.com/office/spreadsheetml/2009/9/main" objectType="Drop" dropLines="12" dropStyle="combo" dx="16" fmlaLink="W45" fmlaRange="weighting_responses" noThreeD="1" sel="4" val="0"/>
</file>

<file path=xl/ctrlProps/ctrlProp3.xml><?xml version="1.0" encoding="utf-8"?>
<formControlPr xmlns="http://schemas.microsoft.com/office/spreadsheetml/2009/9/main" objectType="Drop" dropLines="12" dropStyle="combo" dx="16" fmlaLink="profile_type_of_business" fmlaRange="type_of_business_responses" noThreeD="1" sel="1" val="0"/>
</file>

<file path=xl/ctrlProps/ctrlProp30.xml><?xml version="1.0" encoding="utf-8"?>
<formControlPr xmlns="http://schemas.microsoft.com/office/spreadsheetml/2009/9/main" objectType="Drop" dropLines="12" dropStyle="combo" dx="16" fmlaLink="W47" fmlaRange="weighting_responses" noThreeD="1" sel="5" val="0"/>
</file>

<file path=xl/ctrlProps/ctrlProp31.xml><?xml version="1.0" encoding="utf-8"?>
<formControlPr xmlns="http://schemas.microsoft.com/office/spreadsheetml/2009/9/main" objectType="Drop" dropLines="12" dropStyle="combo" dx="16" fmlaLink="W50" fmlaRange="weighting_responses" noThreeD="1" sel="3" val="0"/>
</file>

<file path=xl/ctrlProps/ctrlProp32.xml><?xml version="1.0" encoding="utf-8"?>
<formControlPr xmlns="http://schemas.microsoft.com/office/spreadsheetml/2009/9/main" objectType="Drop" dropLines="12" dropStyle="combo" dx="16" fmlaLink="W52" fmlaRange="weighting_responses" noThreeD="1" sel="5" val="0"/>
</file>

<file path=xl/ctrlProps/ctrlProp33.xml><?xml version="1.0" encoding="utf-8"?>
<formControlPr xmlns="http://schemas.microsoft.com/office/spreadsheetml/2009/9/main" objectType="Drop" dropLines="12" dropStyle="combo" dx="16" fmlaLink="W54" fmlaRange="weighting_responses" noThreeD="1" sel="3" val="0"/>
</file>

<file path=xl/ctrlProps/ctrlProp34.xml><?xml version="1.0" encoding="utf-8"?>
<formControlPr xmlns="http://schemas.microsoft.com/office/spreadsheetml/2009/9/main" objectType="Drop" dropLines="12" dropStyle="combo" dx="16" fmlaLink="W56" fmlaRange="weighting_responses" noThreeD="1" sel="3" val="0"/>
</file>

<file path=xl/ctrlProps/ctrlProp35.xml><?xml version="1.0" encoding="utf-8"?>
<formControlPr xmlns="http://schemas.microsoft.com/office/spreadsheetml/2009/9/main" objectType="Drop" dropLines="12" dropStyle="combo" dx="16" fmlaLink="W58" fmlaRange="weighting_responses" noThreeD="1" sel="3" val="0"/>
</file>

<file path=xl/ctrlProps/ctrlProp36.xml><?xml version="1.0" encoding="utf-8"?>
<formControlPr xmlns="http://schemas.microsoft.com/office/spreadsheetml/2009/9/main" objectType="Drop" dropLines="12" dropStyle="combo" dx="16" fmlaLink="W60" fmlaRange="weighting_responses" noThreeD="1" sel="4" val="0"/>
</file>

<file path=xl/ctrlProps/ctrlProp37.xml><?xml version="1.0" encoding="utf-8"?>
<formControlPr xmlns="http://schemas.microsoft.com/office/spreadsheetml/2009/9/main" objectType="Drop" dropLines="12" dropStyle="combo" dx="16" fmlaLink="W63" fmlaRange="weighting_responses" noThreeD="1" sel="1" val="0"/>
</file>

<file path=xl/ctrlProps/ctrlProp38.xml><?xml version="1.0" encoding="utf-8"?>
<formControlPr xmlns="http://schemas.microsoft.com/office/spreadsheetml/2009/9/main" objectType="Drop" dropLines="12" dropStyle="combo" dx="16" fmlaLink="W64" fmlaRange="weighting_responses" noThreeD="1" sel="3" val="0"/>
</file>

<file path=xl/ctrlProps/ctrlProp39.xml><?xml version="1.0" encoding="utf-8"?>
<formControlPr xmlns="http://schemas.microsoft.com/office/spreadsheetml/2009/9/main" objectType="Drop" dropLines="12" dropStyle="combo" dx="16" fmlaLink="W65" fmlaRange="weighting_responses" noThreeD="1" sel="4" val="0"/>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Drop" dropLines="12" dropStyle="combo" dx="16" fmlaLink="W66" fmlaRange="weighting_responses" noThreeD="1" sel="5" val="0"/>
</file>

<file path=xl/ctrlProps/ctrlProp41.xml><?xml version="1.0" encoding="utf-8"?>
<formControlPr xmlns="http://schemas.microsoft.com/office/spreadsheetml/2009/9/main" objectType="Drop" dropLines="12" dropStyle="combo" dx="16" fmlaLink="W68" fmlaRange="weighting_responses" noThreeD="1" sel="2" val="0"/>
</file>

<file path=xl/ctrlProps/ctrlProp42.xml><?xml version="1.0" encoding="utf-8"?>
<formControlPr xmlns="http://schemas.microsoft.com/office/spreadsheetml/2009/9/main" objectType="Drop" dropLines="12" dropStyle="combo" dx="16" fmlaLink="W70" fmlaRange="weighting_responses" noThreeD="1" sel="3" val="0"/>
</file>

<file path=xl/ctrlProps/ctrlProp43.xml><?xml version="1.0" encoding="utf-8"?>
<formControlPr xmlns="http://schemas.microsoft.com/office/spreadsheetml/2009/9/main" objectType="Drop" dropLines="12" dropStyle="combo" dx="16" fmlaLink="W72" fmlaRange="weighting_responses" noThreeD="1" sel="4" val="0"/>
</file>

<file path=xl/ctrlProps/ctrlProp44.xml><?xml version="1.0" encoding="utf-8"?>
<formControlPr xmlns="http://schemas.microsoft.com/office/spreadsheetml/2009/9/main" objectType="Drop" dropLines="12" dropStyle="combo" dx="16" fmlaLink="W74" fmlaRange="weighting_responses" noThreeD="1" sel="5" val="0"/>
</file>

<file path=xl/ctrlProps/ctrlProp45.xml><?xml version="1.0" encoding="utf-8"?>
<formControlPr xmlns="http://schemas.microsoft.com/office/spreadsheetml/2009/9/main" objectType="Drop" dropLines="12" dropStyle="combo" dx="16" fmlaLink="W75" fmlaRange="weighting_responses" noThreeD="1" sel="3" val="0"/>
</file>

<file path=xl/ctrlProps/ctrlProp46.xml><?xml version="1.0" encoding="utf-8"?>
<formControlPr xmlns="http://schemas.microsoft.com/office/spreadsheetml/2009/9/main" objectType="Drop" dropLines="12" dropStyle="combo" dx="16" fmlaLink="W76" fmlaRange="weighting_responses" noThreeD="1" sel="4" val="0"/>
</file>

<file path=xl/ctrlProps/ctrlProp47.xml><?xml version="1.0" encoding="utf-8"?>
<formControlPr xmlns="http://schemas.microsoft.com/office/spreadsheetml/2009/9/main" objectType="Drop" dropLines="12" dropStyle="combo" dx="16" fmlaLink="W77" fmlaRange="weighting_responses" noThreeD="1" sel="3" val="0"/>
</file>

<file path=xl/ctrlProps/ctrlProp48.xml><?xml version="1.0" encoding="utf-8"?>
<formControlPr xmlns="http://schemas.microsoft.com/office/spreadsheetml/2009/9/main" objectType="Drop" dropLines="12" dropStyle="combo" dx="16" fmlaLink="W80" fmlaRange="weighting_responses" noThreeD="1" sel="1" val="0"/>
</file>

<file path=xl/ctrlProps/ctrlProp49.xml><?xml version="1.0" encoding="utf-8"?>
<formControlPr xmlns="http://schemas.microsoft.com/office/spreadsheetml/2009/9/main" objectType="Drop" dropLines="12" dropStyle="combo" dx="16" fmlaLink="W81" fmlaRange="weighting_responses" noThreeD="1" sel="2" val="0"/>
</file>

<file path=xl/ctrlProps/ctrlProp5.xml><?xml version="1.0" encoding="utf-8"?>
<formControlPr xmlns="http://schemas.microsoft.com/office/spreadsheetml/2009/9/main" objectType="Drop" dropLines="12" dropStyle="combo" dx="16" fmlaLink="W12" fmlaRange="weighting_responses" noThreeD="1" sel="4" val="0"/>
</file>

<file path=xl/ctrlProps/ctrlProp50.xml><?xml version="1.0" encoding="utf-8"?>
<formControlPr xmlns="http://schemas.microsoft.com/office/spreadsheetml/2009/9/main" objectType="Drop" dropLines="12" dropStyle="combo" dx="16" fmlaLink="W82" fmlaRange="weighting_responses" noThreeD="1" sel="4" val="0"/>
</file>

<file path=xl/ctrlProps/ctrlProp51.xml><?xml version="1.0" encoding="utf-8"?>
<formControlPr xmlns="http://schemas.microsoft.com/office/spreadsheetml/2009/9/main" objectType="Drop" dropLines="12" dropStyle="combo" dx="16" fmlaLink="W83" fmlaRange="weighting_responses" noThreeD="1" sel="5" val="0"/>
</file>

<file path=xl/ctrlProps/ctrlProp52.xml><?xml version="1.0" encoding="utf-8"?>
<formControlPr xmlns="http://schemas.microsoft.com/office/spreadsheetml/2009/9/main" objectType="Drop" dropLines="12" dropStyle="combo" dx="16" fmlaLink="W84" fmlaRange="weighting_responses" noThreeD="1" sel="5" val="0"/>
</file>

<file path=xl/ctrlProps/ctrlProp53.xml><?xml version="1.0" encoding="utf-8"?>
<formControlPr xmlns="http://schemas.microsoft.com/office/spreadsheetml/2009/9/main" objectType="Drop" dropLines="12" dropStyle="combo" dx="16" fmlaLink="W85" fmlaRange="weighting_responses" noThreeD="1" sel="5" val="0"/>
</file>

<file path=xl/ctrlProps/ctrlProp54.xml><?xml version="1.0" encoding="utf-8"?>
<formControlPr xmlns="http://schemas.microsoft.com/office/spreadsheetml/2009/9/main" objectType="Drop" dropLines="12" dropStyle="combo" dx="16" fmlaLink="W87" fmlaRange="weighting_responses" noThreeD="1" sel="1" val="0"/>
</file>

<file path=xl/ctrlProps/ctrlProp55.xml><?xml version="1.0" encoding="utf-8"?>
<formControlPr xmlns="http://schemas.microsoft.com/office/spreadsheetml/2009/9/main" objectType="Drop" dropLines="12" dropStyle="combo" dx="16" fmlaLink="W88" fmlaRange="weighting_responses" noThreeD="1" sel="5" val="0"/>
</file>

<file path=xl/ctrlProps/ctrlProp56.xml><?xml version="1.0" encoding="utf-8"?>
<formControlPr xmlns="http://schemas.microsoft.com/office/spreadsheetml/2009/9/main" objectType="Drop" dropLines="12" dropStyle="combo" dx="16" fmlaLink="W90" fmlaRange="weighting_responses" noThreeD="1" sel="4" val="0"/>
</file>

<file path=xl/ctrlProps/ctrlProp57.xml><?xml version="1.0" encoding="utf-8"?>
<formControlPr xmlns="http://schemas.microsoft.com/office/spreadsheetml/2009/9/main" objectType="Drop" dropLines="12" dropStyle="combo" dx="16" fmlaLink="W92" fmlaRange="weighting_responses" noThreeD="1" sel="4" val="0"/>
</file>

<file path=xl/ctrlProps/ctrlProp58.xml><?xml version="1.0" encoding="utf-8"?>
<formControlPr xmlns="http://schemas.microsoft.com/office/spreadsheetml/2009/9/main" objectType="Drop" dropLines="12" dropStyle="combo" dx="16" fmlaLink="W94" fmlaRange="weighting_responses" noThreeD="1" sel="4" val="0"/>
</file>

<file path=xl/ctrlProps/ctrlProp59.xml><?xml version="1.0" encoding="utf-8"?>
<formControlPr xmlns="http://schemas.microsoft.com/office/spreadsheetml/2009/9/main" objectType="Drop" dropLines="12" dropStyle="combo" dx="16" fmlaLink="W96" fmlaRange="weighting_responses" noThreeD="1" sel="4" val="0"/>
</file>

<file path=xl/ctrlProps/ctrlProp6.xml><?xml version="1.0" encoding="utf-8"?>
<formControlPr xmlns="http://schemas.microsoft.com/office/spreadsheetml/2009/9/main" objectType="Drop" dropLines="12" dropStyle="combo" dx="16" fmlaLink="W13" fmlaRange="weighting_responses" noThreeD="1" sel="3" val="0"/>
</file>

<file path=xl/ctrlProps/ctrlProp60.xml><?xml version="1.0" encoding="utf-8"?>
<formControlPr xmlns="http://schemas.microsoft.com/office/spreadsheetml/2009/9/main" objectType="Drop" dropLines="12" dropStyle="combo" dx="16" fmlaLink="W98" fmlaRange="weighting_responses" noThreeD="1" sel="4" val="0"/>
</file>

<file path=xl/ctrlProps/ctrlProp61.xml><?xml version="1.0" encoding="utf-8"?>
<formControlPr xmlns="http://schemas.microsoft.com/office/spreadsheetml/2009/9/main" objectType="Drop" dropLines="12" dropStyle="combo" dx="16" fmlaLink="W100" fmlaRange="weighting_responses" noThreeD="1" sel="5" val="0"/>
</file>

<file path=xl/ctrlProps/ctrlProp62.xml><?xml version="1.0" encoding="utf-8"?>
<formControlPr xmlns="http://schemas.microsoft.com/office/spreadsheetml/2009/9/main" objectType="Drop" dropLines="12" dropStyle="combo" dx="16" fmlaLink="W102" fmlaRange="weighting_responses" noThreeD="1" sel="1" val="0"/>
</file>

<file path=xl/ctrlProps/ctrlProp63.xml><?xml version="1.0" encoding="utf-8"?>
<formControlPr xmlns="http://schemas.microsoft.com/office/spreadsheetml/2009/9/main" objectType="Drop" dropLines="12" dropStyle="combo" dx="16" fmlaLink="W103" fmlaRange="weighting_responses" noThreeD="1" sel="2" val="0"/>
</file>

<file path=xl/ctrlProps/ctrlProp64.xml><?xml version="1.0" encoding="utf-8"?>
<formControlPr xmlns="http://schemas.microsoft.com/office/spreadsheetml/2009/9/main" objectType="Drop" dropLines="12" dropStyle="combo" dx="16" fmlaLink="W105" fmlaRange="weighting_responses" noThreeD="1" sel="3" val="0"/>
</file>

<file path=xl/ctrlProps/ctrlProp65.xml><?xml version="1.0" encoding="utf-8"?>
<formControlPr xmlns="http://schemas.microsoft.com/office/spreadsheetml/2009/9/main" objectType="Drop" dropLines="12" dropStyle="combo" dx="16" fmlaLink="W107" fmlaRange="weighting_responses" noThreeD="1" sel="3" val="0"/>
</file>

<file path=xl/ctrlProps/ctrlProp66.xml><?xml version="1.0" encoding="utf-8"?>
<formControlPr xmlns="http://schemas.microsoft.com/office/spreadsheetml/2009/9/main" objectType="Drop" dropLines="12" dropStyle="combo" dx="16" fmlaLink="W109" fmlaRange="weighting_responses" noThreeD="1" sel="5" val="0"/>
</file>

<file path=xl/ctrlProps/ctrlProp67.xml><?xml version="1.0" encoding="utf-8"?>
<formControlPr xmlns="http://schemas.microsoft.com/office/spreadsheetml/2009/9/main" objectType="Drop" dropLines="12" dropStyle="combo" dx="16" fmlaLink="W111" fmlaRange="weighting_responses" noThreeD="1" sel="3" val="0"/>
</file>

<file path=xl/ctrlProps/ctrlProp68.xml><?xml version="1.0" encoding="utf-8"?>
<formControlPr xmlns="http://schemas.microsoft.com/office/spreadsheetml/2009/9/main" objectType="Drop" dropLines="12" dropStyle="combo" dx="16" fmlaLink="W113" fmlaRange="weighting_responses" noThreeD="1" sel="1" val="0"/>
</file>

<file path=xl/ctrlProps/ctrlProp69.xml><?xml version="1.0" encoding="utf-8"?>
<formControlPr xmlns="http://schemas.microsoft.com/office/spreadsheetml/2009/9/main" objectType="Drop" dropLines="12" dropStyle="combo" dx="16" fmlaLink="W114" fmlaRange="weighting_responses" noThreeD="1" sel="3" val="0"/>
</file>

<file path=xl/ctrlProps/ctrlProp7.xml><?xml version="1.0" encoding="utf-8"?>
<formControlPr xmlns="http://schemas.microsoft.com/office/spreadsheetml/2009/9/main" objectType="Drop" dropLines="12" dropStyle="combo" dx="16" fmlaLink="W14" fmlaRange="weighting_responses" noThreeD="1" sel="4" val="0"/>
</file>

<file path=xl/ctrlProps/ctrlProp70.xml><?xml version="1.0" encoding="utf-8"?>
<formControlPr xmlns="http://schemas.microsoft.com/office/spreadsheetml/2009/9/main" objectType="Drop" dropLines="12" dropStyle="combo" dx="16" fmlaLink="W116" fmlaRange="weighting_responses" noThreeD="1" sel="1" val="0"/>
</file>

<file path=xl/ctrlProps/ctrlProp71.xml><?xml version="1.0" encoding="utf-8"?>
<formControlPr xmlns="http://schemas.microsoft.com/office/spreadsheetml/2009/9/main" objectType="Drop" dropLines="12" dropStyle="combo" dx="16" fmlaLink="W117" fmlaRange="weighting_responses" noThreeD="1" sel="2" val="0"/>
</file>

<file path=xl/ctrlProps/ctrlProp72.xml><?xml version="1.0" encoding="utf-8"?>
<formControlPr xmlns="http://schemas.microsoft.com/office/spreadsheetml/2009/9/main" objectType="Drop" dropLines="12" dropStyle="combo" dx="16" fmlaLink="W118" fmlaRange="weighting_responses" noThreeD="1" sel="5" val="0"/>
</file>

<file path=xl/ctrlProps/ctrlProp73.xml><?xml version="1.0" encoding="utf-8"?>
<formControlPr xmlns="http://schemas.microsoft.com/office/spreadsheetml/2009/9/main" objectType="Drop" dropLines="12" dropStyle="combo" dx="16" fmlaLink="W120" fmlaRange="weighting_responses" noThreeD="1" sel="4" val="0"/>
</file>

<file path=xl/ctrlProps/ctrlProp74.xml><?xml version="1.0" encoding="utf-8"?>
<formControlPr xmlns="http://schemas.microsoft.com/office/spreadsheetml/2009/9/main" objectType="Drop" dropLines="12" dropStyle="combo" dx="16" fmlaLink="W122" fmlaRange="weighting_responses" noThreeD="1" sel="1" val="0"/>
</file>

<file path=xl/ctrlProps/ctrlProp75.xml><?xml version="1.0" encoding="utf-8"?>
<formControlPr xmlns="http://schemas.microsoft.com/office/spreadsheetml/2009/9/main" objectType="Drop" dropLines="12" dropStyle="combo" dx="16" fmlaLink="W123" fmlaRange="weighting_responses" noThreeD="1" sel="5" val="0"/>
</file>

<file path=xl/ctrlProps/ctrlProp76.xml><?xml version="1.0" encoding="utf-8"?>
<formControlPr xmlns="http://schemas.microsoft.com/office/spreadsheetml/2009/9/main" objectType="Drop" dropLines="12" dropStyle="combo" dx="16" fmlaLink="W125" fmlaRange="weighting_responses" noThreeD="1" sel="1" val="0"/>
</file>

<file path=xl/ctrlProps/ctrlProp77.xml><?xml version="1.0" encoding="utf-8"?>
<formControlPr xmlns="http://schemas.microsoft.com/office/spreadsheetml/2009/9/main" objectType="Drop" dropLines="12" dropStyle="combo" dx="16" fmlaLink="W128" fmlaRange="weighting_responses" noThreeD="1" sel="1" val="0"/>
</file>

<file path=xl/ctrlProps/ctrlProp78.xml><?xml version="1.0" encoding="utf-8"?>
<formControlPr xmlns="http://schemas.microsoft.com/office/spreadsheetml/2009/9/main" objectType="Drop" dropLines="12" dropStyle="combo" dx="16" fmlaLink="W129" fmlaRange="weighting_responses" noThreeD="1" sel="4" val="0"/>
</file>

<file path=xl/ctrlProps/ctrlProp79.xml><?xml version="1.0" encoding="utf-8"?>
<formControlPr xmlns="http://schemas.microsoft.com/office/spreadsheetml/2009/9/main" objectType="Drop" dropLines="12" dropStyle="combo" dx="16" fmlaLink="W131" fmlaRange="weighting_responses" noThreeD="1" sel="3" val="0"/>
</file>

<file path=xl/ctrlProps/ctrlProp8.xml><?xml version="1.0" encoding="utf-8"?>
<formControlPr xmlns="http://schemas.microsoft.com/office/spreadsheetml/2009/9/main" objectType="Drop" dropLines="12" dropStyle="combo" dx="16" fmlaLink="W16" fmlaRange="weighting_responses" noThreeD="1" sel="3" val="0"/>
</file>

<file path=xl/ctrlProps/ctrlProp80.xml><?xml version="1.0" encoding="utf-8"?>
<formControlPr xmlns="http://schemas.microsoft.com/office/spreadsheetml/2009/9/main" objectType="Drop" dropLines="12" dropStyle="combo" dx="16" fmlaLink="W132" fmlaRange="weighting_responses" noThreeD="1" sel="3" val="0"/>
</file>

<file path=xl/ctrlProps/ctrlProp81.xml><?xml version="1.0" encoding="utf-8"?>
<formControlPr xmlns="http://schemas.microsoft.com/office/spreadsheetml/2009/9/main" objectType="Drop" dropLines="12" dropStyle="combo" dx="16" fmlaLink="W133" fmlaRange="weighting_responses" noThreeD="1" sel="2" val="0"/>
</file>

<file path=xl/ctrlProps/ctrlProp82.xml><?xml version="1.0" encoding="utf-8"?>
<formControlPr xmlns="http://schemas.microsoft.com/office/spreadsheetml/2009/9/main" objectType="Drop" dropLines="12" dropStyle="combo" dx="16" fmlaLink="W135" fmlaRange="weighting_responses" noThreeD="1" sel="3" val="0"/>
</file>

<file path=xl/ctrlProps/ctrlProp83.xml><?xml version="1.0" encoding="utf-8"?>
<formControlPr xmlns="http://schemas.microsoft.com/office/spreadsheetml/2009/9/main" objectType="Drop" dropLines="12" dropStyle="combo" dx="16" fmlaLink="W137" fmlaRange="weighting_responses" noThreeD="1" sel="4" val="0"/>
</file>

<file path=xl/ctrlProps/ctrlProp84.xml><?xml version="1.0" encoding="utf-8"?>
<formControlPr xmlns="http://schemas.microsoft.com/office/spreadsheetml/2009/9/main" objectType="Drop" dropLines="12" dropStyle="combo" dx="16" fmlaLink="W139" fmlaRange="weighting_responses" noThreeD="1" sel="1" val="0"/>
</file>

<file path=xl/ctrlProps/ctrlProp85.xml><?xml version="1.0" encoding="utf-8"?>
<formControlPr xmlns="http://schemas.microsoft.com/office/spreadsheetml/2009/9/main" objectType="Drop" dropLines="12" dropStyle="combo" dx="16" fmlaLink="W140" fmlaRange="weighting_responses" noThreeD="1" sel="2" val="0"/>
</file>

<file path=xl/ctrlProps/ctrlProp86.xml><?xml version="1.0" encoding="utf-8"?>
<formControlPr xmlns="http://schemas.microsoft.com/office/spreadsheetml/2009/9/main" objectType="Drop" dropLines="12" dropStyle="combo" dx="16" fmlaLink="W142" fmlaRange="weighting_responses" noThreeD="1" sel="3" val="0"/>
</file>

<file path=xl/ctrlProps/ctrlProp87.xml><?xml version="1.0" encoding="utf-8"?>
<formControlPr xmlns="http://schemas.microsoft.com/office/spreadsheetml/2009/9/main" objectType="Drop" dropLines="12" dropStyle="combo" dx="16" fmlaLink="W144" fmlaRange="weighting_responses" noThreeD="1" sel="4" val="0"/>
</file>

<file path=xl/ctrlProps/ctrlProp88.xml><?xml version="1.0" encoding="utf-8"?>
<formControlPr xmlns="http://schemas.microsoft.com/office/spreadsheetml/2009/9/main" objectType="Drop" dropLines="12" dropStyle="combo" dx="16" fmlaLink="W146" fmlaRange="weighting_responses" noThreeD="1" sel="5" val="0"/>
</file>

<file path=xl/ctrlProps/ctrlProp89.xml><?xml version="1.0" encoding="utf-8"?>
<formControlPr xmlns="http://schemas.microsoft.com/office/spreadsheetml/2009/9/main" objectType="Drop" dropLines="12" dropStyle="combo" dx="16" fmlaLink="W148" fmlaRange="weighting_responses" noThreeD="1" sel="1" val="0"/>
</file>

<file path=xl/ctrlProps/ctrlProp9.xml><?xml version="1.0" encoding="utf-8"?>
<formControlPr xmlns="http://schemas.microsoft.com/office/spreadsheetml/2009/9/main" objectType="Drop" dropLines="12" dropStyle="combo" dx="16" fmlaLink="W17" fmlaRange="weighting_responses" noThreeD="1" sel="5" val="0"/>
</file>

<file path=xl/ctrlProps/ctrlProp90.xml><?xml version="1.0" encoding="utf-8"?>
<formControlPr xmlns="http://schemas.microsoft.com/office/spreadsheetml/2009/9/main" objectType="Drop" dropLines="12" dropStyle="combo" dx="16" fmlaLink="W150" fmlaRange="weighting_responses" noThreeD="1" sel="4" val="0"/>
</file>

<file path=xl/ctrlProps/ctrlProp91.xml><?xml version="1.0" encoding="utf-8"?>
<formControlPr xmlns="http://schemas.microsoft.com/office/spreadsheetml/2009/9/main" objectType="Drop" dropLines="12" dropStyle="combo" dx="16" fmlaLink="W151" fmlaRange="weighting_responses" noThreeD="1" sel="3" val="0"/>
</file>

<file path=xl/ctrlProps/ctrlProp92.xml><?xml version="1.0" encoding="utf-8"?>
<formControlPr xmlns="http://schemas.microsoft.com/office/spreadsheetml/2009/9/main" objectType="Drop" dropLines="12" dropStyle="combo" dx="16" fmlaLink="W152" fmlaRange="weighting_responses" noThreeD="1" sel="2" val="0"/>
</file>

<file path=xl/ctrlProps/ctrlProp93.xml><?xml version="1.0" encoding="utf-8"?>
<formControlPr xmlns="http://schemas.microsoft.com/office/spreadsheetml/2009/9/main" objectType="Drop" dropLines="12" dropStyle="combo" dx="16" fmlaLink="W154" fmlaRange="weighting_responses" noThreeD="1" sel="5" val="0"/>
</file>

<file path=xl/ctrlProps/ctrlProp94.xml><?xml version="1.0" encoding="utf-8"?>
<formControlPr xmlns="http://schemas.microsoft.com/office/spreadsheetml/2009/9/main" objectType="Drop" dropLines="12" dropStyle="combo" dx="16" fmlaLink="W155" fmlaRange="weighting_responses" noThreeD="1" sel="3" val="0"/>
</file>

<file path=xl/ctrlProps/ctrlProp95.xml><?xml version="1.0" encoding="utf-8"?>
<formControlPr xmlns="http://schemas.microsoft.com/office/spreadsheetml/2009/9/main" objectType="Drop" dropLines="12" dropStyle="combo" dx="16" fmlaLink="W157" fmlaRange="weighting_responses" noThreeD="1" sel="3" val="0"/>
</file>

<file path=xl/ctrlProps/ctrlProp96.xml><?xml version="1.0" encoding="utf-8"?>
<formControlPr xmlns="http://schemas.microsoft.com/office/spreadsheetml/2009/9/main" objectType="Drop" dropLines="12" dropStyle="combo" dx="16" fmlaLink="W159" fmlaRange="weighting_responses" noThreeD="1" sel="3" val="0"/>
</file>

<file path=xl/ctrlProps/ctrlProp97.xml><?xml version="1.0" encoding="utf-8"?>
<formControlPr xmlns="http://schemas.microsoft.com/office/spreadsheetml/2009/9/main" objectType="Drop" dropLines="12" dropStyle="combo" dx="16" fmlaLink="W161" fmlaRange="weighting_responses" noThreeD="1" sel="1" val="0"/>
</file>

<file path=xl/ctrlProps/ctrlProp98.xml><?xml version="1.0" encoding="utf-8"?>
<formControlPr xmlns="http://schemas.microsoft.com/office/spreadsheetml/2009/9/main" objectType="Drop" dropLines="12" dropStyle="combo" dx="16" fmlaLink="W162" fmlaRange="weighting_responses" noThreeD="1" sel="4" val="0"/>
</file>

<file path=xl/ctrlProps/ctrlProp99.xml><?xml version="1.0" encoding="utf-8"?>
<formControlPr xmlns="http://schemas.microsoft.com/office/spreadsheetml/2009/9/main" objectType="Drop" dropLines="12" dropStyle="combo" dx="16" fmlaLink="W163" fmlaRange="weighting_responses" noThreeD="1" sel="3" val="0"/>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www.jerakano.com/"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8.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135000</xdr:colOff>
      <xdr:row>5</xdr:row>
      <xdr:rowOff>19321</xdr:rowOff>
    </xdr:to>
    <xdr:pic>
      <xdr:nvPicPr>
        <xdr:cNvPr id="2" name="Picture 1">
          <a:extLst>
            <a:ext uri="{FF2B5EF4-FFF2-40B4-BE49-F238E27FC236}">
              <a16:creationId xmlns:a16="http://schemas.microsoft.com/office/drawing/2014/main" id="{00000000-0008-0000-00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76200"/>
          <a:ext cx="8208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104775</xdr:colOff>
      <xdr:row>76</xdr:row>
      <xdr:rowOff>28574</xdr:rowOff>
    </xdr:from>
    <xdr:to>
      <xdr:col>6</xdr:col>
      <xdr:colOff>457200</xdr:colOff>
      <xdr:row>78</xdr:row>
      <xdr:rowOff>19811</xdr:rowOff>
    </xdr:to>
    <xdr:pic>
      <xdr:nvPicPr>
        <xdr:cNvPr id="3" name="Picture 2">
          <a:hlinkClick xmlns:r="http://schemas.openxmlformats.org/officeDocument/2006/relationships" r:id="rId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52775" y="14001749"/>
          <a:ext cx="962025" cy="267462"/>
        </a:xfrm>
        <a:prstGeom prst="rect">
          <a:avLst/>
        </a:prstGeom>
      </xdr:spPr>
    </xdr:pic>
    <xdr:clientData/>
  </xdr:twoCellAnchor>
  <xdr:twoCellAnchor editAs="oneCell">
    <xdr:from>
      <xdr:col>0</xdr:col>
      <xdr:colOff>600075</xdr:colOff>
      <xdr:row>41</xdr:row>
      <xdr:rowOff>581025</xdr:rowOff>
    </xdr:from>
    <xdr:to>
      <xdr:col>12</xdr:col>
      <xdr:colOff>371475</xdr:colOff>
      <xdr:row>61</xdr:row>
      <xdr:rowOff>228600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stretch>
          <a:fillRect/>
        </a:stretch>
      </xdr:blipFill>
      <xdr:spPr>
        <a:xfrm>
          <a:off x="600075" y="8705850"/>
          <a:ext cx="7086600" cy="7086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070" y="76200"/>
          <a:ext cx="762000" cy="888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070" y="76200"/>
          <a:ext cx="762000" cy="888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070" y="76200"/>
          <a:ext cx="762000" cy="888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2</xdr:col>
      <xdr:colOff>135000</xdr:colOff>
      <xdr:row>5</xdr:row>
      <xdr:rowOff>19321</xdr:rowOff>
    </xdr:to>
    <xdr:pic>
      <xdr:nvPicPr>
        <xdr:cNvPr id="2" name="Picture 1">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76200"/>
          <a:ext cx="8208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xdr:row>
      <xdr:rowOff>0</xdr:rowOff>
    </xdr:from>
    <xdr:to>
      <xdr:col>9</xdr:col>
      <xdr:colOff>382270</xdr:colOff>
      <xdr:row>31</xdr:row>
      <xdr:rowOff>88900</xdr:rowOff>
    </xdr:to>
    <xdr:pic>
      <xdr:nvPicPr>
        <xdr:cNvPr id="3" name="Picture 2" descr="C:\Users\Jayne\AppData\Local\Microsoft\Windows\Temporary Internet Files\Content.Word\creststep.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28800" y="3600450"/>
          <a:ext cx="4039870" cy="2565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228600</xdr:colOff>
      <xdr:row>0</xdr:row>
      <xdr:rowOff>76200</xdr:rowOff>
    </xdr:from>
    <xdr:to>
      <xdr:col>4</xdr:col>
      <xdr:colOff>571500</xdr:colOff>
      <xdr:row>0</xdr:row>
      <xdr:rowOff>971821</xdr:rowOff>
    </xdr:to>
    <xdr:pic>
      <xdr:nvPicPr>
        <xdr:cNvPr id="36" name="Picture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76200"/>
          <a:ext cx="81915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47625</xdr:rowOff>
        </xdr:from>
        <xdr:to>
          <xdr:col>6</xdr:col>
          <xdr:colOff>1123950</xdr:colOff>
          <xdr:row>16</xdr:row>
          <xdr:rowOff>266700</xdr:rowOff>
        </xdr:to>
        <xdr:sp macro="" textlink="">
          <xdr:nvSpPr>
            <xdr:cNvPr id="25640" name="Drop Down 40" hidden="1">
              <a:extLst>
                <a:ext uri="{63B3BB69-23CF-44E3-9099-C40C66FF867C}">
                  <a14:compatExt spid="_x0000_s25640"/>
                </a:ext>
                <a:ext uri="{FF2B5EF4-FFF2-40B4-BE49-F238E27FC236}">
                  <a16:creationId xmlns:a16="http://schemas.microsoft.com/office/drawing/2014/main" id="{00000000-0008-0000-0200-000028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47625</xdr:rowOff>
        </xdr:from>
        <xdr:to>
          <xdr:col>6</xdr:col>
          <xdr:colOff>1123950</xdr:colOff>
          <xdr:row>19</xdr:row>
          <xdr:rowOff>266700</xdr:rowOff>
        </xdr:to>
        <xdr:sp macro="" textlink="">
          <xdr:nvSpPr>
            <xdr:cNvPr id="25646" name="Drop Down 46" hidden="1">
              <a:extLst>
                <a:ext uri="{63B3BB69-23CF-44E3-9099-C40C66FF867C}">
                  <a14:compatExt spid="_x0000_s25646"/>
                </a:ext>
                <a:ext uri="{FF2B5EF4-FFF2-40B4-BE49-F238E27FC236}">
                  <a16:creationId xmlns:a16="http://schemas.microsoft.com/office/drawing/2014/main" id="{00000000-0008-0000-0200-00002E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47625</xdr:rowOff>
        </xdr:from>
        <xdr:to>
          <xdr:col>6</xdr:col>
          <xdr:colOff>1123950</xdr:colOff>
          <xdr:row>22</xdr:row>
          <xdr:rowOff>266700</xdr:rowOff>
        </xdr:to>
        <xdr:sp macro="" textlink="">
          <xdr:nvSpPr>
            <xdr:cNvPr id="25647" name="Drop Down 47" hidden="1">
              <a:extLst>
                <a:ext uri="{63B3BB69-23CF-44E3-9099-C40C66FF867C}">
                  <a14:compatExt spid="_x0000_s25647"/>
                </a:ext>
                <a:ext uri="{FF2B5EF4-FFF2-40B4-BE49-F238E27FC236}">
                  <a16:creationId xmlns:a16="http://schemas.microsoft.com/office/drawing/2014/main" id="{00000000-0008-0000-0200-00002F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35719</xdr:colOff>
      <xdr:row>5</xdr:row>
      <xdr:rowOff>202402</xdr:rowOff>
    </xdr:from>
    <xdr:to>
      <xdr:col>6</xdr:col>
      <xdr:colOff>750094</xdr:colOff>
      <xdr:row>7</xdr:row>
      <xdr:rowOff>83339</xdr:rowOff>
    </xdr:to>
    <xdr:sp macro="" textlink="">
      <xdr:nvSpPr>
        <xdr:cNvPr id="4" name="Left Arrow 3">
          <a:extLst>
            <a:ext uri="{FF2B5EF4-FFF2-40B4-BE49-F238E27FC236}">
              <a16:creationId xmlns:a16="http://schemas.microsoft.com/office/drawing/2014/main" id="{00000000-0008-0000-0300-000004000000}"/>
            </a:ext>
          </a:extLst>
        </xdr:cNvPr>
        <xdr:cNvSpPr/>
      </xdr:nvSpPr>
      <xdr:spPr>
        <a:xfrm>
          <a:off x="7524750" y="2571746"/>
          <a:ext cx="714375" cy="642937"/>
        </a:xfrm>
        <a:prstGeom prst="leftArrow">
          <a:avLst/>
        </a:prstGeom>
        <a:gradFill>
          <a:gsLst>
            <a:gs pos="0">
              <a:schemeClr val="bg1">
                <a:lumMod val="65000"/>
              </a:schemeClr>
            </a:gs>
            <a:gs pos="39999">
              <a:schemeClr val="bg1">
                <a:lumMod val="65000"/>
              </a:schemeClr>
            </a:gs>
            <a:gs pos="70000">
              <a:schemeClr val="bg1">
                <a:lumMod val="65000"/>
              </a:schemeClr>
            </a:gs>
            <a:gs pos="100000">
              <a:schemeClr val="bg1">
                <a:lumMod val="65000"/>
              </a:schemeClr>
            </a:gs>
          </a:gsLst>
          <a:lin ang="0" scaled="0"/>
        </a:gra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3</xdr:col>
      <xdr:colOff>569117</xdr:colOff>
      <xdr:row>0</xdr:row>
      <xdr:rowOff>95250</xdr:rowOff>
    </xdr:from>
    <xdr:to>
      <xdr:col>3</xdr:col>
      <xdr:colOff>1595117</xdr:colOff>
      <xdr:row>0</xdr:row>
      <xdr:rowOff>1214850</xdr:rowOff>
    </xdr:to>
    <xdr:pic>
      <xdr:nvPicPr>
        <xdr:cNvPr id="3" name="Picture 2">
          <a:extLst>
            <a:ext uri="{FF2B5EF4-FFF2-40B4-BE49-F238E27FC236}">
              <a16:creationId xmlns:a16="http://schemas.microsoft.com/office/drawing/2014/main" id="{00000000-0008-0000-0300-000003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680" y="95250"/>
          <a:ext cx="1026000" cy="11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7</xdr:col>
          <xdr:colOff>0</xdr:colOff>
          <xdr:row>4</xdr:row>
          <xdr:rowOff>19050</xdr:rowOff>
        </xdr:from>
        <xdr:to>
          <xdr:col>9</xdr:col>
          <xdr:colOff>47625</xdr:colOff>
          <xdr:row>10</xdr:row>
          <xdr:rowOff>238125</xdr:rowOff>
        </xdr:to>
        <xdr:sp macro="" textlink="">
          <xdr:nvSpPr>
            <xdr:cNvPr id="67593" name="Group Box 9" hidden="1">
              <a:extLst>
                <a:ext uri="{63B3BB69-23CF-44E3-9099-C40C66FF867C}">
                  <a14:compatExt spid="_x0000_s67593"/>
                </a:ext>
                <a:ext uri="{FF2B5EF4-FFF2-40B4-BE49-F238E27FC236}">
                  <a16:creationId xmlns:a16="http://schemas.microsoft.com/office/drawing/2014/main" id="{00000000-0008-0000-0300-0000090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161925</xdr:rowOff>
        </xdr:from>
        <xdr:to>
          <xdr:col>8</xdr:col>
          <xdr:colOff>819150</xdr:colOff>
          <xdr:row>6</xdr:row>
          <xdr:rowOff>95250</xdr:rowOff>
        </xdr:to>
        <xdr:sp macro="" textlink="">
          <xdr:nvSpPr>
            <xdr:cNvPr id="67594" name="OptionButton1" hidden="1">
              <a:extLst>
                <a:ext uri="{63B3BB69-23CF-44E3-9099-C40C66FF867C}">
                  <a14:compatExt spid="_x0000_s67594"/>
                </a:ext>
                <a:ext uri="{FF2B5EF4-FFF2-40B4-BE49-F238E27FC236}">
                  <a16:creationId xmlns:a16="http://schemas.microsoft.com/office/drawing/2014/main" id="{00000000-0008-0000-0300-00000A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161925</xdr:rowOff>
        </xdr:from>
        <xdr:to>
          <xdr:col>8</xdr:col>
          <xdr:colOff>866775</xdr:colOff>
          <xdr:row>7</xdr:row>
          <xdr:rowOff>95250</xdr:rowOff>
        </xdr:to>
        <xdr:sp macro="" textlink="">
          <xdr:nvSpPr>
            <xdr:cNvPr id="67595" name="OptionButton2" hidden="1">
              <a:extLst>
                <a:ext uri="{63B3BB69-23CF-44E3-9099-C40C66FF867C}">
                  <a14:compatExt spid="_x0000_s67595"/>
                </a:ext>
                <a:ext uri="{FF2B5EF4-FFF2-40B4-BE49-F238E27FC236}">
                  <a16:creationId xmlns:a16="http://schemas.microsoft.com/office/drawing/2014/main" id="{00000000-0008-0000-0300-00000B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161925</xdr:rowOff>
        </xdr:from>
        <xdr:to>
          <xdr:col>8</xdr:col>
          <xdr:colOff>885825</xdr:colOff>
          <xdr:row>8</xdr:row>
          <xdr:rowOff>95250</xdr:rowOff>
        </xdr:to>
        <xdr:sp macro="" textlink="">
          <xdr:nvSpPr>
            <xdr:cNvPr id="67596" name="OptionButton3" hidden="1">
              <a:extLst>
                <a:ext uri="{63B3BB69-23CF-44E3-9099-C40C66FF867C}">
                  <a14:compatExt spid="_x0000_s67596"/>
                </a:ext>
                <a:ext uri="{FF2B5EF4-FFF2-40B4-BE49-F238E27FC236}">
                  <a16:creationId xmlns:a16="http://schemas.microsoft.com/office/drawing/2014/main" id="{00000000-0008-0000-0300-00000C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xdr:row>
          <xdr:rowOff>171450</xdr:rowOff>
        </xdr:from>
        <xdr:to>
          <xdr:col>8</xdr:col>
          <xdr:colOff>762000</xdr:colOff>
          <xdr:row>10</xdr:row>
          <xdr:rowOff>95250</xdr:rowOff>
        </xdr:to>
        <xdr:sp macro="" textlink="">
          <xdr:nvSpPr>
            <xdr:cNvPr id="67597" name="OptionButton4" hidden="1">
              <a:extLst>
                <a:ext uri="{63B3BB69-23CF-44E3-9099-C40C66FF867C}">
                  <a14:compatExt spid="_x0000_s67597"/>
                </a:ext>
                <a:ext uri="{FF2B5EF4-FFF2-40B4-BE49-F238E27FC236}">
                  <a16:creationId xmlns:a16="http://schemas.microsoft.com/office/drawing/2014/main" id="{00000000-0008-0000-0300-00000D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xdr:from>
      <xdr:col>9</xdr:col>
      <xdr:colOff>71438</xdr:colOff>
      <xdr:row>5</xdr:row>
      <xdr:rowOff>202402</xdr:rowOff>
    </xdr:from>
    <xdr:to>
      <xdr:col>9</xdr:col>
      <xdr:colOff>833438</xdr:colOff>
      <xdr:row>7</xdr:row>
      <xdr:rowOff>83339</xdr:rowOff>
    </xdr:to>
    <xdr:sp macro="" textlink="">
      <xdr:nvSpPr>
        <xdr:cNvPr id="10" name="Left Arrow 9">
          <a:extLst>
            <a:ext uri="{FF2B5EF4-FFF2-40B4-BE49-F238E27FC236}">
              <a16:creationId xmlns:a16="http://schemas.microsoft.com/office/drawing/2014/main" id="{00000000-0008-0000-0300-00000A000000}"/>
            </a:ext>
          </a:extLst>
        </xdr:cNvPr>
        <xdr:cNvSpPr/>
      </xdr:nvSpPr>
      <xdr:spPr>
        <a:xfrm>
          <a:off x="10036969" y="2571746"/>
          <a:ext cx="762000" cy="642937"/>
        </a:xfrm>
        <a:prstGeom prst="leftArrow">
          <a:avLst/>
        </a:prstGeom>
        <a:gradFill>
          <a:gsLst>
            <a:gs pos="0">
              <a:schemeClr val="bg1">
                <a:lumMod val="65000"/>
              </a:schemeClr>
            </a:gs>
            <a:gs pos="39999">
              <a:schemeClr val="bg1">
                <a:lumMod val="65000"/>
              </a:schemeClr>
            </a:gs>
            <a:gs pos="70000">
              <a:schemeClr val="bg1">
                <a:lumMod val="65000"/>
              </a:schemeClr>
            </a:gs>
            <a:gs pos="100000">
              <a:schemeClr val="bg1">
                <a:lumMod val="65000"/>
              </a:schemeClr>
            </a:gs>
          </a:gsLst>
          <a:lin ang="0" scaled="0"/>
        </a:gra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mc:AlternateContent xmlns:mc="http://schemas.openxmlformats.org/markup-compatibility/2006">
    <mc:Choice xmlns:a14="http://schemas.microsoft.com/office/drawing/2010/main" Requires="a14">
      <xdr:twoCellAnchor editAs="oneCell">
        <xdr:from>
          <xdr:col>7</xdr:col>
          <xdr:colOff>76200</xdr:colOff>
          <xdr:row>4</xdr:row>
          <xdr:rowOff>152400</xdr:rowOff>
        </xdr:from>
        <xdr:to>
          <xdr:col>8</xdr:col>
          <xdr:colOff>857250</xdr:colOff>
          <xdr:row>5</xdr:row>
          <xdr:rowOff>85725</xdr:rowOff>
        </xdr:to>
        <xdr:sp macro="" textlink="">
          <xdr:nvSpPr>
            <xdr:cNvPr id="67599" name="OptionButton5" hidden="1">
              <a:extLst>
                <a:ext uri="{63B3BB69-23CF-44E3-9099-C40C66FF867C}">
                  <a14:compatExt spid="_x0000_s67599"/>
                </a:ext>
                <a:ext uri="{FF2B5EF4-FFF2-40B4-BE49-F238E27FC236}">
                  <a16:creationId xmlns:a16="http://schemas.microsoft.com/office/drawing/2014/main" id="{00000000-0008-0000-0300-00000F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xdr:row>
          <xdr:rowOff>171450</xdr:rowOff>
        </xdr:from>
        <xdr:to>
          <xdr:col>8</xdr:col>
          <xdr:colOff>590550</xdr:colOff>
          <xdr:row>9</xdr:row>
          <xdr:rowOff>104775</xdr:rowOff>
        </xdr:to>
        <xdr:sp macro="" textlink="">
          <xdr:nvSpPr>
            <xdr:cNvPr id="67600" name="OptionButton6" hidden="1">
              <a:extLst>
                <a:ext uri="{63B3BB69-23CF-44E3-9099-C40C66FF867C}">
                  <a14:compatExt spid="_x0000_s67600"/>
                </a:ext>
                <a:ext uri="{FF2B5EF4-FFF2-40B4-BE49-F238E27FC236}">
                  <a16:creationId xmlns:a16="http://schemas.microsoft.com/office/drawing/2014/main" id="{00000000-0008-0000-0300-0000100801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4</xdr:col>
      <xdr:colOff>190500</xdr:colOff>
      <xdr:row>0</xdr:row>
      <xdr:rowOff>76200</xdr:rowOff>
    </xdr:from>
    <xdr:to>
      <xdr:col>4</xdr:col>
      <xdr:colOff>952500</xdr:colOff>
      <xdr:row>5</xdr:row>
      <xdr:rowOff>19321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76200"/>
          <a:ext cx="762000" cy="8956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428625</xdr:colOff>
          <xdr:row>9</xdr:row>
          <xdr:rowOff>85725</xdr:rowOff>
        </xdr:from>
        <xdr:to>
          <xdr:col>6</xdr:col>
          <xdr:colOff>933450</xdr:colOff>
          <xdr:row>9</xdr:row>
          <xdr:rowOff>304800</xdr:rowOff>
        </xdr:to>
        <xdr:sp macro="" textlink="">
          <xdr:nvSpPr>
            <xdr:cNvPr id="79921" name="Drop Down 1073" hidden="1">
              <a:extLst>
                <a:ext uri="{63B3BB69-23CF-44E3-9099-C40C66FF867C}">
                  <a14:compatExt spid="_x0000_s79921"/>
                </a:ext>
                <a:ext uri="{FF2B5EF4-FFF2-40B4-BE49-F238E27FC236}">
                  <a16:creationId xmlns:a16="http://schemas.microsoft.com/office/drawing/2014/main" id="{00000000-0008-0000-0400-0000313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11</xdr:row>
          <xdr:rowOff>85725</xdr:rowOff>
        </xdr:from>
        <xdr:to>
          <xdr:col>6</xdr:col>
          <xdr:colOff>933450</xdr:colOff>
          <xdr:row>11</xdr:row>
          <xdr:rowOff>304800</xdr:rowOff>
        </xdr:to>
        <xdr:sp macro="" textlink="">
          <xdr:nvSpPr>
            <xdr:cNvPr id="112469" name="Drop Down 2901" hidden="1">
              <a:extLst>
                <a:ext uri="{63B3BB69-23CF-44E3-9099-C40C66FF867C}">
                  <a14:compatExt spid="_x0000_s112469"/>
                </a:ext>
                <a:ext uri="{FF2B5EF4-FFF2-40B4-BE49-F238E27FC236}">
                  <a16:creationId xmlns:a16="http://schemas.microsoft.com/office/drawing/2014/main" id="{00000000-0008-0000-0400-00005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xdr:row>
          <xdr:rowOff>85725</xdr:rowOff>
        </xdr:from>
        <xdr:to>
          <xdr:col>6</xdr:col>
          <xdr:colOff>933450</xdr:colOff>
          <xdr:row>12</xdr:row>
          <xdr:rowOff>304800</xdr:rowOff>
        </xdr:to>
        <xdr:sp macro="" textlink="">
          <xdr:nvSpPr>
            <xdr:cNvPr id="112470" name="Drop Down 2902" hidden="1">
              <a:extLst>
                <a:ext uri="{63B3BB69-23CF-44E3-9099-C40C66FF867C}">
                  <a14:compatExt spid="_x0000_s112470"/>
                </a:ext>
                <a:ext uri="{FF2B5EF4-FFF2-40B4-BE49-F238E27FC236}">
                  <a16:creationId xmlns:a16="http://schemas.microsoft.com/office/drawing/2014/main" id="{00000000-0008-0000-0400-000056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13</xdr:row>
          <xdr:rowOff>85725</xdr:rowOff>
        </xdr:from>
        <xdr:to>
          <xdr:col>6</xdr:col>
          <xdr:colOff>933450</xdr:colOff>
          <xdr:row>13</xdr:row>
          <xdr:rowOff>304800</xdr:rowOff>
        </xdr:to>
        <xdr:sp macro="" textlink="">
          <xdr:nvSpPr>
            <xdr:cNvPr id="112471" name="Drop Down 2903" hidden="1">
              <a:extLst>
                <a:ext uri="{63B3BB69-23CF-44E3-9099-C40C66FF867C}">
                  <a14:compatExt spid="_x0000_s112471"/>
                </a:ext>
                <a:ext uri="{FF2B5EF4-FFF2-40B4-BE49-F238E27FC236}">
                  <a16:creationId xmlns:a16="http://schemas.microsoft.com/office/drawing/2014/main" id="{00000000-0008-0000-0400-000057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xdr:row>
          <xdr:rowOff>85725</xdr:rowOff>
        </xdr:from>
        <xdr:to>
          <xdr:col>6</xdr:col>
          <xdr:colOff>933450</xdr:colOff>
          <xdr:row>15</xdr:row>
          <xdr:rowOff>304800</xdr:rowOff>
        </xdr:to>
        <xdr:sp macro="" textlink="">
          <xdr:nvSpPr>
            <xdr:cNvPr id="112472" name="Drop Down 2904" hidden="1">
              <a:extLst>
                <a:ext uri="{63B3BB69-23CF-44E3-9099-C40C66FF867C}">
                  <a14:compatExt spid="_x0000_s112472"/>
                </a:ext>
                <a:ext uri="{FF2B5EF4-FFF2-40B4-BE49-F238E27FC236}">
                  <a16:creationId xmlns:a16="http://schemas.microsoft.com/office/drawing/2014/main" id="{00000000-0008-0000-0400-000058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16</xdr:row>
          <xdr:rowOff>85725</xdr:rowOff>
        </xdr:from>
        <xdr:to>
          <xdr:col>6</xdr:col>
          <xdr:colOff>933450</xdr:colOff>
          <xdr:row>16</xdr:row>
          <xdr:rowOff>304800</xdr:rowOff>
        </xdr:to>
        <xdr:sp macro="" textlink="">
          <xdr:nvSpPr>
            <xdr:cNvPr id="112473" name="Drop Down 2905" hidden="1">
              <a:extLst>
                <a:ext uri="{63B3BB69-23CF-44E3-9099-C40C66FF867C}">
                  <a14:compatExt spid="_x0000_s112473"/>
                </a:ext>
                <a:ext uri="{FF2B5EF4-FFF2-40B4-BE49-F238E27FC236}">
                  <a16:creationId xmlns:a16="http://schemas.microsoft.com/office/drawing/2014/main" id="{00000000-0008-0000-0400-000059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19</xdr:row>
          <xdr:rowOff>85725</xdr:rowOff>
        </xdr:from>
        <xdr:to>
          <xdr:col>6</xdr:col>
          <xdr:colOff>933450</xdr:colOff>
          <xdr:row>19</xdr:row>
          <xdr:rowOff>304800</xdr:rowOff>
        </xdr:to>
        <xdr:sp macro="" textlink="">
          <xdr:nvSpPr>
            <xdr:cNvPr id="112474" name="Drop Down 2906" hidden="1">
              <a:extLst>
                <a:ext uri="{63B3BB69-23CF-44E3-9099-C40C66FF867C}">
                  <a14:compatExt spid="_x0000_s112474"/>
                </a:ext>
                <a:ext uri="{FF2B5EF4-FFF2-40B4-BE49-F238E27FC236}">
                  <a16:creationId xmlns:a16="http://schemas.microsoft.com/office/drawing/2014/main" id="{00000000-0008-0000-0400-00005A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21</xdr:row>
          <xdr:rowOff>85725</xdr:rowOff>
        </xdr:from>
        <xdr:to>
          <xdr:col>6</xdr:col>
          <xdr:colOff>933450</xdr:colOff>
          <xdr:row>21</xdr:row>
          <xdr:rowOff>304800</xdr:rowOff>
        </xdr:to>
        <xdr:sp macro="" textlink="">
          <xdr:nvSpPr>
            <xdr:cNvPr id="112475" name="Drop Down 2907" hidden="1">
              <a:extLst>
                <a:ext uri="{63B3BB69-23CF-44E3-9099-C40C66FF867C}">
                  <a14:compatExt spid="_x0000_s112475"/>
                </a:ext>
                <a:ext uri="{FF2B5EF4-FFF2-40B4-BE49-F238E27FC236}">
                  <a16:creationId xmlns:a16="http://schemas.microsoft.com/office/drawing/2014/main" id="{00000000-0008-0000-0400-00005B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23</xdr:row>
          <xdr:rowOff>85725</xdr:rowOff>
        </xdr:from>
        <xdr:to>
          <xdr:col>6</xdr:col>
          <xdr:colOff>933450</xdr:colOff>
          <xdr:row>23</xdr:row>
          <xdr:rowOff>304800</xdr:rowOff>
        </xdr:to>
        <xdr:sp macro="" textlink="">
          <xdr:nvSpPr>
            <xdr:cNvPr id="112476" name="Drop Down 2908" hidden="1">
              <a:extLst>
                <a:ext uri="{63B3BB69-23CF-44E3-9099-C40C66FF867C}">
                  <a14:compatExt spid="_x0000_s112476"/>
                </a:ext>
                <a:ext uri="{FF2B5EF4-FFF2-40B4-BE49-F238E27FC236}">
                  <a16:creationId xmlns:a16="http://schemas.microsoft.com/office/drawing/2014/main" id="{00000000-0008-0000-0400-00005C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24</xdr:row>
          <xdr:rowOff>85725</xdr:rowOff>
        </xdr:from>
        <xdr:to>
          <xdr:col>6</xdr:col>
          <xdr:colOff>933450</xdr:colOff>
          <xdr:row>24</xdr:row>
          <xdr:rowOff>304800</xdr:rowOff>
        </xdr:to>
        <xdr:sp macro="" textlink="">
          <xdr:nvSpPr>
            <xdr:cNvPr id="112477" name="Drop Down 2909" hidden="1">
              <a:extLst>
                <a:ext uri="{63B3BB69-23CF-44E3-9099-C40C66FF867C}">
                  <a14:compatExt spid="_x0000_s112477"/>
                </a:ext>
                <a:ext uri="{FF2B5EF4-FFF2-40B4-BE49-F238E27FC236}">
                  <a16:creationId xmlns:a16="http://schemas.microsoft.com/office/drawing/2014/main" id="{00000000-0008-0000-0400-00005D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25</xdr:row>
          <xdr:rowOff>85725</xdr:rowOff>
        </xdr:from>
        <xdr:to>
          <xdr:col>6</xdr:col>
          <xdr:colOff>933450</xdr:colOff>
          <xdr:row>25</xdr:row>
          <xdr:rowOff>304800</xdr:rowOff>
        </xdr:to>
        <xdr:sp macro="" textlink="">
          <xdr:nvSpPr>
            <xdr:cNvPr id="112478" name="Drop Down 2910" hidden="1">
              <a:extLst>
                <a:ext uri="{63B3BB69-23CF-44E3-9099-C40C66FF867C}">
                  <a14:compatExt spid="_x0000_s112478"/>
                </a:ext>
                <a:ext uri="{FF2B5EF4-FFF2-40B4-BE49-F238E27FC236}">
                  <a16:creationId xmlns:a16="http://schemas.microsoft.com/office/drawing/2014/main" id="{00000000-0008-0000-0400-00005E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26</xdr:row>
          <xdr:rowOff>85725</xdr:rowOff>
        </xdr:from>
        <xdr:to>
          <xdr:col>6</xdr:col>
          <xdr:colOff>933450</xdr:colOff>
          <xdr:row>26</xdr:row>
          <xdr:rowOff>304800</xdr:rowOff>
        </xdr:to>
        <xdr:sp macro="" textlink="">
          <xdr:nvSpPr>
            <xdr:cNvPr id="112479" name="Drop Down 2911" hidden="1">
              <a:extLst>
                <a:ext uri="{63B3BB69-23CF-44E3-9099-C40C66FF867C}">
                  <a14:compatExt spid="_x0000_s112479"/>
                </a:ext>
                <a:ext uri="{FF2B5EF4-FFF2-40B4-BE49-F238E27FC236}">
                  <a16:creationId xmlns:a16="http://schemas.microsoft.com/office/drawing/2014/main" id="{00000000-0008-0000-0400-00005F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27</xdr:row>
          <xdr:rowOff>85725</xdr:rowOff>
        </xdr:from>
        <xdr:to>
          <xdr:col>6</xdr:col>
          <xdr:colOff>933450</xdr:colOff>
          <xdr:row>27</xdr:row>
          <xdr:rowOff>304800</xdr:rowOff>
        </xdr:to>
        <xdr:sp macro="" textlink="">
          <xdr:nvSpPr>
            <xdr:cNvPr id="112480" name="Drop Down 2912" hidden="1">
              <a:extLst>
                <a:ext uri="{63B3BB69-23CF-44E3-9099-C40C66FF867C}">
                  <a14:compatExt spid="_x0000_s112480"/>
                </a:ext>
                <a:ext uri="{FF2B5EF4-FFF2-40B4-BE49-F238E27FC236}">
                  <a16:creationId xmlns:a16="http://schemas.microsoft.com/office/drawing/2014/main" id="{00000000-0008-0000-0400-000060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28</xdr:row>
          <xdr:rowOff>85725</xdr:rowOff>
        </xdr:from>
        <xdr:to>
          <xdr:col>6</xdr:col>
          <xdr:colOff>933450</xdr:colOff>
          <xdr:row>28</xdr:row>
          <xdr:rowOff>304800</xdr:rowOff>
        </xdr:to>
        <xdr:sp macro="" textlink="">
          <xdr:nvSpPr>
            <xdr:cNvPr id="112481" name="Drop Down 2913" hidden="1">
              <a:extLst>
                <a:ext uri="{63B3BB69-23CF-44E3-9099-C40C66FF867C}">
                  <a14:compatExt spid="_x0000_s112481"/>
                </a:ext>
                <a:ext uri="{FF2B5EF4-FFF2-40B4-BE49-F238E27FC236}">
                  <a16:creationId xmlns:a16="http://schemas.microsoft.com/office/drawing/2014/main" id="{00000000-0008-0000-0400-000061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31</xdr:row>
          <xdr:rowOff>85725</xdr:rowOff>
        </xdr:from>
        <xdr:to>
          <xdr:col>6</xdr:col>
          <xdr:colOff>933450</xdr:colOff>
          <xdr:row>31</xdr:row>
          <xdr:rowOff>304800</xdr:rowOff>
        </xdr:to>
        <xdr:sp macro="" textlink="">
          <xdr:nvSpPr>
            <xdr:cNvPr id="112482" name="Drop Down 2914" hidden="1">
              <a:extLst>
                <a:ext uri="{63B3BB69-23CF-44E3-9099-C40C66FF867C}">
                  <a14:compatExt spid="_x0000_s112482"/>
                </a:ext>
                <a:ext uri="{FF2B5EF4-FFF2-40B4-BE49-F238E27FC236}">
                  <a16:creationId xmlns:a16="http://schemas.microsoft.com/office/drawing/2014/main" id="{00000000-0008-0000-0400-000062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32</xdr:row>
          <xdr:rowOff>85725</xdr:rowOff>
        </xdr:from>
        <xdr:to>
          <xdr:col>6</xdr:col>
          <xdr:colOff>933450</xdr:colOff>
          <xdr:row>32</xdr:row>
          <xdr:rowOff>304800</xdr:rowOff>
        </xdr:to>
        <xdr:sp macro="" textlink="">
          <xdr:nvSpPr>
            <xdr:cNvPr id="112483" name="Drop Down 2915" hidden="1">
              <a:extLst>
                <a:ext uri="{63B3BB69-23CF-44E3-9099-C40C66FF867C}">
                  <a14:compatExt spid="_x0000_s112483"/>
                </a:ext>
                <a:ext uri="{FF2B5EF4-FFF2-40B4-BE49-F238E27FC236}">
                  <a16:creationId xmlns:a16="http://schemas.microsoft.com/office/drawing/2014/main" id="{00000000-0008-0000-0400-000063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34</xdr:row>
          <xdr:rowOff>85725</xdr:rowOff>
        </xdr:from>
        <xdr:to>
          <xdr:col>6</xdr:col>
          <xdr:colOff>933450</xdr:colOff>
          <xdr:row>34</xdr:row>
          <xdr:rowOff>304800</xdr:rowOff>
        </xdr:to>
        <xdr:sp macro="" textlink="">
          <xdr:nvSpPr>
            <xdr:cNvPr id="112484" name="Drop Down 2916" hidden="1">
              <a:extLst>
                <a:ext uri="{63B3BB69-23CF-44E3-9099-C40C66FF867C}">
                  <a14:compatExt spid="_x0000_s112484"/>
                </a:ext>
                <a:ext uri="{FF2B5EF4-FFF2-40B4-BE49-F238E27FC236}">
                  <a16:creationId xmlns:a16="http://schemas.microsoft.com/office/drawing/2014/main" id="{00000000-0008-0000-0400-000064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35</xdr:row>
          <xdr:rowOff>85725</xdr:rowOff>
        </xdr:from>
        <xdr:to>
          <xdr:col>6</xdr:col>
          <xdr:colOff>933450</xdr:colOff>
          <xdr:row>35</xdr:row>
          <xdr:rowOff>304800</xdr:rowOff>
        </xdr:to>
        <xdr:sp macro="" textlink="">
          <xdr:nvSpPr>
            <xdr:cNvPr id="112485" name="Drop Down 2917" hidden="1">
              <a:extLst>
                <a:ext uri="{63B3BB69-23CF-44E3-9099-C40C66FF867C}">
                  <a14:compatExt spid="_x0000_s112485"/>
                </a:ext>
                <a:ext uri="{FF2B5EF4-FFF2-40B4-BE49-F238E27FC236}">
                  <a16:creationId xmlns:a16="http://schemas.microsoft.com/office/drawing/2014/main" id="{00000000-0008-0000-0400-00006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36</xdr:row>
          <xdr:rowOff>85725</xdr:rowOff>
        </xdr:from>
        <xdr:to>
          <xdr:col>6</xdr:col>
          <xdr:colOff>933450</xdr:colOff>
          <xdr:row>36</xdr:row>
          <xdr:rowOff>304800</xdr:rowOff>
        </xdr:to>
        <xdr:sp macro="" textlink="">
          <xdr:nvSpPr>
            <xdr:cNvPr id="112486" name="Drop Down 2918" hidden="1">
              <a:extLst>
                <a:ext uri="{63B3BB69-23CF-44E3-9099-C40C66FF867C}">
                  <a14:compatExt spid="_x0000_s112486"/>
                </a:ext>
                <a:ext uri="{FF2B5EF4-FFF2-40B4-BE49-F238E27FC236}">
                  <a16:creationId xmlns:a16="http://schemas.microsoft.com/office/drawing/2014/main" id="{00000000-0008-0000-0400-000066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37</xdr:row>
          <xdr:rowOff>85725</xdr:rowOff>
        </xdr:from>
        <xdr:to>
          <xdr:col>6</xdr:col>
          <xdr:colOff>933450</xdr:colOff>
          <xdr:row>37</xdr:row>
          <xdr:rowOff>304800</xdr:rowOff>
        </xdr:to>
        <xdr:sp macro="" textlink="">
          <xdr:nvSpPr>
            <xdr:cNvPr id="112487" name="Drop Down 2919" hidden="1">
              <a:extLst>
                <a:ext uri="{63B3BB69-23CF-44E3-9099-C40C66FF867C}">
                  <a14:compatExt spid="_x0000_s112487"/>
                </a:ext>
                <a:ext uri="{FF2B5EF4-FFF2-40B4-BE49-F238E27FC236}">
                  <a16:creationId xmlns:a16="http://schemas.microsoft.com/office/drawing/2014/main" id="{00000000-0008-0000-0400-000067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39</xdr:row>
          <xdr:rowOff>85725</xdr:rowOff>
        </xdr:from>
        <xdr:to>
          <xdr:col>6</xdr:col>
          <xdr:colOff>933450</xdr:colOff>
          <xdr:row>39</xdr:row>
          <xdr:rowOff>304800</xdr:rowOff>
        </xdr:to>
        <xdr:sp macro="" textlink="">
          <xdr:nvSpPr>
            <xdr:cNvPr id="112488" name="Drop Down 2920" hidden="1">
              <a:extLst>
                <a:ext uri="{63B3BB69-23CF-44E3-9099-C40C66FF867C}">
                  <a14:compatExt spid="_x0000_s112488"/>
                </a:ext>
                <a:ext uri="{FF2B5EF4-FFF2-40B4-BE49-F238E27FC236}">
                  <a16:creationId xmlns:a16="http://schemas.microsoft.com/office/drawing/2014/main" id="{00000000-0008-0000-0400-000068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40</xdr:row>
          <xdr:rowOff>85725</xdr:rowOff>
        </xdr:from>
        <xdr:to>
          <xdr:col>6</xdr:col>
          <xdr:colOff>933450</xdr:colOff>
          <xdr:row>40</xdr:row>
          <xdr:rowOff>304800</xdr:rowOff>
        </xdr:to>
        <xdr:sp macro="" textlink="">
          <xdr:nvSpPr>
            <xdr:cNvPr id="112489" name="Drop Down 2921" hidden="1">
              <a:extLst>
                <a:ext uri="{63B3BB69-23CF-44E3-9099-C40C66FF867C}">
                  <a14:compatExt spid="_x0000_s112489"/>
                </a:ext>
                <a:ext uri="{FF2B5EF4-FFF2-40B4-BE49-F238E27FC236}">
                  <a16:creationId xmlns:a16="http://schemas.microsoft.com/office/drawing/2014/main" id="{00000000-0008-0000-0400-000069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41</xdr:row>
          <xdr:rowOff>85725</xdr:rowOff>
        </xdr:from>
        <xdr:to>
          <xdr:col>6</xdr:col>
          <xdr:colOff>933450</xdr:colOff>
          <xdr:row>41</xdr:row>
          <xdr:rowOff>304800</xdr:rowOff>
        </xdr:to>
        <xdr:sp macro="" textlink="">
          <xdr:nvSpPr>
            <xdr:cNvPr id="112490" name="Drop Down 2922" hidden="1">
              <a:extLst>
                <a:ext uri="{63B3BB69-23CF-44E3-9099-C40C66FF867C}">
                  <a14:compatExt spid="_x0000_s112490"/>
                </a:ext>
                <a:ext uri="{FF2B5EF4-FFF2-40B4-BE49-F238E27FC236}">
                  <a16:creationId xmlns:a16="http://schemas.microsoft.com/office/drawing/2014/main" id="{00000000-0008-0000-0400-00006A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42</xdr:row>
          <xdr:rowOff>85725</xdr:rowOff>
        </xdr:from>
        <xdr:to>
          <xdr:col>6</xdr:col>
          <xdr:colOff>933450</xdr:colOff>
          <xdr:row>42</xdr:row>
          <xdr:rowOff>304800</xdr:rowOff>
        </xdr:to>
        <xdr:sp macro="" textlink="">
          <xdr:nvSpPr>
            <xdr:cNvPr id="112491" name="Drop Down 2923" hidden="1">
              <a:extLst>
                <a:ext uri="{63B3BB69-23CF-44E3-9099-C40C66FF867C}">
                  <a14:compatExt spid="_x0000_s112491"/>
                </a:ext>
                <a:ext uri="{FF2B5EF4-FFF2-40B4-BE49-F238E27FC236}">
                  <a16:creationId xmlns:a16="http://schemas.microsoft.com/office/drawing/2014/main" id="{00000000-0008-0000-0400-00006B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43</xdr:row>
          <xdr:rowOff>85725</xdr:rowOff>
        </xdr:from>
        <xdr:to>
          <xdr:col>6</xdr:col>
          <xdr:colOff>933450</xdr:colOff>
          <xdr:row>43</xdr:row>
          <xdr:rowOff>304800</xdr:rowOff>
        </xdr:to>
        <xdr:sp macro="" textlink="">
          <xdr:nvSpPr>
            <xdr:cNvPr id="112492" name="Drop Down 2924" hidden="1">
              <a:extLst>
                <a:ext uri="{63B3BB69-23CF-44E3-9099-C40C66FF867C}">
                  <a14:compatExt spid="_x0000_s112492"/>
                </a:ext>
                <a:ext uri="{FF2B5EF4-FFF2-40B4-BE49-F238E27FC236}">
                  <a16:creationId xmlns:a16="http://schemas.microsoft.com/office/drawing/2014/main" id="{00000000-0008-0000-0400-00006C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44</xdr:row>
          <xdr:rowOff>85725</xdr:rowOff>
        </xdr:from>
        <xdr:to>
          <xdr:col>6</xdr:col>
          <xdr:colOff>933450</xdr:colOff>
          <xdr:row>44</xdr:row>
          <xdr:rowOff>304800</xdr:rowOff>
        </xdr:to>
        <xdr:sp macro="" textlink="">
          <xdr:nvSpPr>
            <xdr:cNvPr id="112493" name="Drop Down 2925" hidden="1">
              <a:extLst>
                <a:ext uri="{63B3BB69-23CF-44E3-9099-C40C66FF867C}">
                  <a14:compatExt spid="_x0000_s112493"/>
                </a:ext>
                <a:ext uri="{FF2B5EF4-FFF2-40B4-BE49-F238E27FC236}">
                  <a16:creationId xmlns:a16="http://schemas.microsoft.com/office/drawing/2014/main" id="{00000000-0008-0000-0400-00006D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46</xdr:row>
          <xdr:rowOff>85725</xdr:rowOff>
        </xdr:from>
        <xdr:to>
          <xdr:col>6</xdr:col>
          <xdr:colOff>933450</xdr:colOff>
          <xdr:row>46</xdr:row>
          <xdr:rowOff>304800</xdr:rowOff>
        </xdr:to>
        <xdr:sp macro="" textlink="">
          <xdr:nvSpPr>
            <xdr:cNvPr id="112494" name="Drop Down 2926" hidden="1">
              <a:extLst>
                <a:ext uri="{63B3BB69-23CF-44E3-9099-C40C66FF867C}">
                  <a14:compatExt spid="_x0000_s112494"/>
                </a:ext>
                <a:ext uri="{FF2B5EF4-FFF2-40B4-BE49-F238E27FC236}">
                  <a16:creationId xmlns:a16="http://schemas.microsoft.com/office/drawing/2014/main" id="{00000000-0008-0000-0400-00006E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49</xdr:row>
          <xdr:rowOff>85725</xdr:rowOff>
        </xdr:from>
        <xdr:to>
          <xdr:col>6</xdr:col>
          <xdr:colOff>933450</xdr:colOff>
          <xdr:row>49</xdr:row>
          <xdr:rowOff>304800</xdr:rowOff>
        </xdr:to>
        <xdr:sp macro="" textlink="">
          <xdr:nvSpPr>
            <xdr:cNvPr id="112495" name="Drop Down 2927" hidden="1">
              <a:extLst>
                <a:ext uri="{63B3BB69-23CF-44E3-9099-C40C66FF867C}">
                  <a14:compatExt spid="_x0000_s112495"/>
                </a:ext>
                <a:ext uri="{FF2B5EF4-FFF2-40B4-BE49-F238E27FC236}">
                  <a16:creationId xmlns:a16="http://schemas.microsoft.com/office/drawing/2014/main" id="{00000000-0008-0000-0400-00006F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51</xdr:row>
          <xdr:rowOff>85725</xdr:rowOff>
        </xdr:from>
        <xdr:to>
          <xdr:col>6</xdr:col>
          <xdr:colOff>933450</xdr:colOff>
          <xdr:row>51</xdr:row>
          <xdr:rowOff>304800</xdr:rowOff>
        </xdr:to>
        <xdr:sp macro="" textlink="">
          <xdr:nvSpPr>
            <xdr:cNvPr id="112496" name="Drop Down 2928" hidden="1">
              <a:extLst>
                <a:ext uri="{63B3BB69-23CF-44E3-9099-C40C66FF867C}">
                  <a14:compatExt spid="_x0000_s112496"/>
                </a:ext>
                <a:ext uri="{FF2B5EF4-FFF2-40B4-BE49-F238E27FC236}">
                  <a16:creationId xmlns:a16="http://schemas.microsoft.com/office/drawing/2014/main" id="{00000000-0008-0000-0400-000070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53</xdr:row>
          <xdr:rowOff>85725</xdr:rowOff>
        </xdr:from>
        <xdr:to>
          <xdr:col>6</xdr:col>
          <xdr:colOff>933450</xdr:colOff>
          <xdr:row>53</xdr:row>
          <xdr:rowOff>304800</xdr:rowOff>
        </xdr:to>
        <xdr:sp macro="" textlink="">
          <xdr:nvSpPr>
            <xdr:cNvPr id="112497" name="Drop Down 2929" hidden="1">
              <a:extLst>
                <a:ext uri="{63B3BB69-23CF-44E3-9099-C40C66FF867C}">
                  <a14:compatExt spid="_x0000_s112497"/>
                </a:ext>
                <a:ext uri="{FF2B5EF4-FFF2-40B4-BE49-F238E27FC236}">
                  <a16:creationId xmlns:a16="http://schemas.microsoft.com/office/drawing/2014/main" id="{00000000-0008-0000-0400-000071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55</xdr:row>
          <xdr:rowOff>85725</xdr:rowOff>
        </xdr:from>
        <xdr:to>
          <xdr:col>6</xdr:col>
          <xdr:colOff>933450</xdr:colOff>
          <xdr:row>55</xdr:row>
          <xdr:rowOff>304800</xdr:rowOff>
        </xdr:to>
        <xdr:sp macro="" textlink="">
          <xdr:nvSpPr>
            <xdr:cNvPr id="112498" name="Drop Down 2930" hidden="1">
              <a:extLst>
                <a:ext uri="{63B3BB69-23CF-44E3-9099-C40C66FF867C}">
                  <a14:compatExt spid="_x0000_s112498"/>
                </a:ext>
                <a:ext uri="{FF2B5EF4-FFF2-40B4-BE49-F238E27FC236}">
                  <a16:creationId xmlns:a16="http://schemas.microsoft.com/office/drawing/2014/main" id="{00000000-0008-0000-0400-000072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57</xdr:row>
          <xdr:rowOff>85725</xdr:rowOff>
        </xdr:from>
        <xdr:to>
          <xdr:col>6</xdr:col>
          <xdr:colOff>933450</xdr:colOff>
          <xdr:row>57</xdr:row>
          <xdr:rowOff>304800</xdr:rowOff>
        </xdr:to>
        <xdr:sp macro="" textlink="">
          <xdr:nvSpPr>
            <xdr:cNvPr id="112499" name="Drop Down 2931" hidden="1">
              <a:extLst>
                <a:ext uri="{63B3BB69-23CF-44E3-9099-C40C66FF867C}">
                  <a14:compatExt spid="_x0000_s112499"/>
                </a:ext>
                <a:ext uri="{FF2B5EF4-FFF2-40B4-BE49-F238E27FC236}">
                  <a16:creationId xmlns:a16="http://schemas.microsoft.com/office/drawing/2014/main" id="{00000000-0008-0000-0400-000073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59</xdr:row>
          <xdr:rowOff>85725</xdr:rowOff>
        </xdr:from>
        <xdr:to>
          <xdr:col>6</xdr:col>
          <xdr:colOff>933450</xdr:colOff>
          <xdr:row>59</xdr:row>
          <xdr:rowOff>304800</xdr:rowOff>
        </xdr:to>
        <xdr:sp macro="" textlink="">
          <xdr:nvSpPr>
            <xdr:cNvPr id="112500" name="Drop Down 2932" hidden="1">
              <a:extLst>
                <a:ext uri="{63B3BB69-23CF-44E3-9099-C40C66FF867C}">
                  <a14:compatExt spid="_x0000_s112500"/>
                </a:ext>
                <a:ext uri="{FF2B5EF4-FFF2-40B4-BE49-F238E27FC236}">
                  <a16:creationId xmlns:a16="http://schemas.microsoft.com/office/drawing/2014/main" id="{00000000-0008-0000-0400-000074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62</xdr:row>
          <xdr:rowOff>85725</xdr:rowOff>
        </xdr:from>
        <xdr:to>
          <xdr:col>6</xdr:col>
          <xdr:colOff>933450</xdr:colOff>
          <xdr:row>62</xdr:row>
          <xdr:rowOff>304800</xdr:rowOff>
        </xdr:to>
        <xdr:sp macro="" textlink="">
          <xdr:nvSpPr>
            <xdr:cNvPr id="112501" name="Drop Down 2933" hidden="1">
              <a:extLst>
                <a:ext uri="{63B3BB69-23CF-44E3-9099-C40C66FF867C}">
                  <a14:compatExt spid="_x0000_s112501"/>
                </a:ext>
                <a:ext uri="{FF2B5EF4-FFF2-40B4-BE49-F238E27FC236}">
                  <a16:creationId xmlns:a16="http://schemas.microsoft.com/office/drawing/2014/main" id="{00000000-0008-0000-0400-00007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63</xdr:row>
          <xdr:rowOff>85725</xdr:rowOff>
        </xdr:from>
        <xdr:to>
          <xdr:col>6</xdr:col>
          <xdr:colOff>933450</xdr:colOff>
          <xdr:row>63</xdr:row>
          <xdr:rowOff>304800</xdr:rowOff>
        </xdr:to>
        <xdr:sp macro="" textlink="">
          <xdr:nvSpPr>
            <xdr:cNvPr id="112502" name="Drop Down 2934" hidden="1">
              <a:extLst>
                <a:ext uri="{63B3BB69-23CF-44E3-9099-C40C66FF867C}">
                  <a14:compatExt spid="_x0000_s112502"/>
                </a:ext>
                <a:ext uri="{FF2B5EF4-FFF2-40B4-BE49-F238E27FC236}">
                  <a16:creationId xmlns:a16="http://schemas.microsoft.com/office/drawing/2014/main" id="{00000000-0008-0000-0400-000076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64</xdr:row>
          <xdr:rowOff>85725</xdr:rowOff>
        </xdr:from>
        <xdr:to>
          <xdr:col>6</xdr:col>
          <xdr:colOff>933450</xdr:colOff>
          <xdr:row>64</xdr:row>
          <xdr:rowOff>304800</xdr:rowOff>
        </xdr:to>
        <xdr:sp macro="" textlink="">
          <xdr:nvSpPr>
            <xdr:cNvPr id="112503" name="Drop Down 2935" hidden="1">
              <a:extLst>
                <a:ext uri="{63B3BB69-23CF-44E3-9099-C40C66FF867C}">
                  <a14:compatExt spid="_x0000_s112503"/>
                </a:ext>
                <a:ext uri="{FF2B5EF4-FFF2-40B4-BE49-F238E27FC236}">
                  <a16:creationId xmlns:a16="http://schemas.microsoft.com/office/drawing/2014/main" id="{00000000-0008-0000-0400-000077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65</xdr:row>
          <xdr:rowOff>85725</xdr:rowOff>
        </xdr:from>
        <xdr:to>
          <xdr:col>6</xdr:col>
          <xdr:colOff>933450</xdr:colOff>
          <xdr:row>65</xdr:row>
          <xdr:rowOff>304800</xdr:rowOff>
        </xdr:to>
        <xdr:sp macro="" textlink="">
          <xdr:nvSpPr>
            <xdr:cNvPr id="112504" name="Drop Down 2936" hidden="1">
              <a:extLst>
                <a:ext uri="{63B3BB69-23CF-44E3-9099-C40C66FF867C}">
                  <a14:compatExt spid="_x0000_s112504"/>
                </a:ext>
                <a:ext uri="{FF2B5EF4-FFF2-40B4-BE49-F238E27FC236}">
                  <a16:creationId xmlns:a16="http://schemas.microsoft.com/office/drawing/2014/main" id="{00000000-0008-0000-0400-000078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67</xdr:row>
          <xdr:rowOff>85725</xdr:rowOff>
        </xdr:from>
        <xdr:to>
          <xdr:col>6</xdr:col>
          <xdr:colOff>933450</xdr:colOff>
          <xdr:row>67</xdr:row>
          <xdr:rowOff>304800</xdr:rowOff>
        </xdr:to>
        <xdr:sp macro="" textlink="">
          <xdr:nvSpPr>
            <xdr:cNvPr id="112505" name="Drop Down 2937" hidden="1">
              <a:extLst>
                <a:ext uri="{63B3BB69-23CF-44E3-9099-C40C66FF867C}">
                  <a14:compatExt spid="_x0000_s112505"/>
                </a:ext>
                <a:ext uri="{FF2B5EF4-FFF2-40B4-BE49-F238E27FC236}">
                  <a16:creationId xmlns:a16="http://schemas.microsoft.com/office/drawing/2014/main" id="{00000000-0008-0000-0400-000079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69</xdr:row>
          <xdr:rowOff>85725</xdr:rowOff>
        </xdr:from>
        <xdr:to>
          <xdr:col>6</xdr:col>
          <xdr:colOff>933450</xdr:colOff>
          <xdr:row>69</xdr:row>
          <xdr:rowOff>304800</xdr:rowOff>
        </xdr:to>
        <xdr:sp macro="" textlink="">
          <xdr:nvSpPr>
            <xdr:cNvPr id="112506" name="Drop Down 2938" hidden="1">
              <a:extLst>
                <a:ext uri="{63B3BB69-23CF-44E3-9099-C40C66FF867C}">
                  <a14:compatExt spid="_x0000_s112506"/>
                </a:ext>
                <a:ext uri="{FF2B5EF4-FFF2-40B4-BE49-F238E27FC236}">
                  <a16:creationId xmlns:a16="http://schemas.microsoft.com/office/drawing/2014/main" id="{00000000-0008-0000-0400-00007A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71</xdr:row>
          <xdr:rowOff>85725</xdr:rowOff>
        </xdr:from>
        <xdr:to>
          <xdr:col>6</xdr:col>
          <xdr:colOff>933450</xdr:colOff>
          <xdr:row>71</xdr:row>
          <xdr:rowOff>304800</xdr:rowOff>
        </xdr:to>
        <xdr:sp macro="" textlink="">
          <xdr:nvSpPr>
            <xdr:cNvPr id="112507" name="Drop Down 2939" hidden="1">
              <a:extLst>
                <a:ext uri="{63B3BB69-23CF-44E3-9099-C40C66FF867C}">
                  <a14:compatExt spid="_x0000_s112507"/>
                </a:ext>
                <a:ext uri="{FF2B5EF4-FFF2-40B4-BE49-F238E27FC236}">
                  <a16:creationId xmlns:a16="http://schemas.microsoft.com/office/drawing/2014/main" id="{00000000-0008-0000-0400-00007B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73</xdr:row>
          <xdr:rowOff>85725</xdr:rowOff>
        </xdr:from>
        <xdr:to>
          <xdr:col>6</xdr:col>
          <xdr:colOff>933450</xdr:colOff>
          <xdr:row>73</xdr:row>
          <xdr:rowOff>304800</xdr:rowOff>
        </xdr:to>
        <xdr:sp macro="" textlink="">
          <xdr:nvSpPr>
            <xdr:cNvPr id="112508" name="Drop Down 2940" hidden="1">
              <a:extLst>
                <a:ext uri="{63B3BB69-23CF-44E3-9099-C40C66FF867C}">
                  <a14:compatExt spid="_x0000_s112508"/>
                </a:ext>
                <a:ext uri="{FF2B5EF4-FFF2-40B4-BE49-F238E27FC236}">
                  <a16:creationId xmlns:a16="http://schemas.microsoft.com/office/drawing/2014/main" id="{00000000-0008-0000-0400-00007C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74</xdr:row>
          <xdr:rowOff>85725</xdr:rowOff>
        </xdr:from>
        <xdr:to>
          <xdr:col>6</xdr:col>
          <xdr:colOff>933450</xdr:colOff>
          <xdr:row>74</xdr:row>
          <xdr:rowOff>304800</xdr:rowOff>
        </xdr:to>
        <xdr:sp macro="" textlink="">
          <xdr:nvSpPr>
            <xdr:cNvPr id="112509" name="Drop Down 2941" hidden="1">
              <a:extLst>
                <a:ext uri="{63B3BB69-23CF-44E3-9099-C40C66FF867C}">
                  <a14:compatExt spid="_x0000_s112509"/>
                </a:ext>
                <a:ext uri="{FF2B5EF4-FFF2-40B4-BE49-F238E27FC236}">
                  <a16:creationId xmlns:a16="http://schemas.microsoft.com/office/drawing/2014/main" id="{00000000-0008-0000-0400-00007D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75</xdr:row>
          <xdr:rowOff>85725</xdr:rowOff>
        </xdr:from>
        <xdr:to>
          <xdr:col>6</xdr:col>
          <xdr:colOff>933450</xdr:colOff>
          <xdr:row>75</xdr:row>
          <xdr:rowOff>304800</xdr:rowOff>
        </xdr:to>
        <xdr:sp macro="" textlink="">
          <xdr:nvSpPr>
            <xdr:cNvPr id="112510" name="Drop Down 2942" hidden="1">
              <a:extLst>
                <a:ext uri="{63B3BB69-23CF-44E3-9099-C40C66FF867C}">
                  <a14:compatExt spid="_x0000_s112510"/>
                </a:ext>
                <a:ext uri="{FF2B5EF4-FFF2-40B4-BE49-F238E27FC236}">
                  <a16:creationId xmlns:a16="http://schemas.microsoft.com/office/drawing/2014/main" id="{00000000-0008-0000-0400-00007E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76</xdr:row>
          <xdr:rowOff>85725</xdr:rowOff>
        </xdr:from>
        <xdr:to>
          <xdr:col>6</xdr:col>
          <xdr:colOff>933450</xdr:colOff>
          <xdr:row>76</xdr:row>
          <xdr:rowOff>304800</xdr:rowOff>
        </xdr:to>
        <xdr:sp macro="" textlink="">
          <xdr:nvSpPr>
            <xdr:cNvPr id="112511" name="Drop Down 2943" hidden="1">
              <a:extLst>
                <a:ext uri="{63B3BB69-23CF-44E3-9099-C40C66FF867C}">
                  <a14:compatExt spid="_x0000_s112511"/>
                </a:ext>
                <a:ext uri="{FF2B5EF4-FFF2-40B4-BE49-F238E27FC236}">
                  <a16:creationId xmlns:a16="http://schemas.microsoft.com/office/drawing/2014/main" id="{00000000-0008-0000-0400-00007F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79</xdr:row>
          <xdr:rowOff>85725</xdr:rowOff>
        </xdr:from>
        <xdr:to>
          <xdr:col>6</xdr:col>
          <xdr:colOff>933450</xdr:colOff>
          <xdr:row>79</xdr:row>
          <xdr:rowOff>304800</xdr:rowOff>
        </xdr:to>
        <xdr:sp macro="" textlink="">
          <xdr:nvSpPr>
            <xdr:cNvPr id="112512" name="Drop Down 2944" hidden="1">
              <a:extLst>
                <a:ext uri="{63B3BB69-23CF-44E3-9099-C40C66FF867C}">
                  <a14:compatExt spid="_x0000_s112512"/>
                </a:ext>
                <a:ext uri="{FF2B5EF4-FFF2-40B4-BE49-F238E27FC236}">
                  <a16:creationId xmlns:a16="http://schemas.microsoft.com/office/drawing/2014/main" id="{00000000-0008-0000-0400-000080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80</xdr:row>
          <xdr:rowOff>85725</xdr:rowOff>
        </xdr:from>
        <xdr:to>
          <xdr:col>6</xdr:col>
          <xdr:colOff>933450</xdr:colOff>
          <xdr:row>80</xdr:row>
          <xdr:rowOff>304800</xdr:rowOff>
        </xdr:to>
        <xdr:sp macro="" textlink="">
          <xdr:nvSpPr>
            <xdr:cNvPr id="112513" name="Drop Down 2945" hidden="1">
              <a:extLst>
                <a:ext uri="{63B3BB69-23CF-44E3-9099-C40C66FF867C}">
                  <a14:compatExt spid="_x0000_s112513"/>
                </a:ext>
                <a:ext uri="{FF2B5EF4-FFF2-40B4-BE49-F238E27FC236}">
                  <a16:creationId xmlns:a16="http://schemas.microsoft.com/office/drawing/2014/main" id="{00000000-0008-0000-0400-000081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81</xdr:row>
          <xdr:rowOff>85725</xdr:rowOff>
        </xdr:from>
        <xdr:to>
          <xdr:col>6</xdr:col>
          <xdr:colOff>933450</xdr:colOff>
          <xdr:row>81</xdr:row>
          <xdr:rowOff>304800</xdr:rowOff>
        </xdr:to>
        <xdr:sp macro="" textlink="">
          <xdr:nvSpPr>
            <xdr:cNvPr id="112514" name="Drop Down 2946" hidden="1">
              <a:extLst>
                <a:ext uri="{63B3BB69-23CF-44E3-9099-C40C66FF867C}">
                  <a14:compatExt spid="_x0000_s112514"/>
                </a:ext>
                <a:ext uri="{FF2B5EF4-FFF2-40B4-BE49-F238E27FC236}">
                  <a16:creationId xmlns:a16="http://schemas.microsoft.com/office/drawing/2014/main" id="{00000000-0008-0000-0400-000082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82</xdr:row>
          <xdr:rowOff>85725</xdr:rowOff>
        </xdr:from>
        <xdr:to>
          <xdr:col>6</xdr:col>
          <xdr:colOff>933450</xdr:colOff>
          <xdr:row>82</xdr:row>
          <xdr:rowOff>304800</xdr:rowOff>
        </xdr:to>
        <xdr:sp macro="" textlink="">
          <xdr:nvSpPr>
            <xdr:cNvPr id="112515" name="Drop Down 2947" hidden="1">
              <a:extLst>
                <a:ext uri="{63B3BB69-23CF-44E3-9099-C40C66FF867C}">
                  <a14:compatExt spid="_x0000_s112515"/>
                </a:ext>
                <a:ext uri="{FF2B5EF4-FFF2-40B4-BE49-F238E27FC236}">
                  <a16:creationId xmlns:a16="http://schemas.microsoft.com/office/drawing/2014/main" id="{00000000-0008-0000-0400-000083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83</xdr:row>
          <xdr:rowOff>85725</xdr:rowOff>
        </xdr:from>
        <xdr:to>
          <xdr:col>6</xdr:col>
          <xdr:colOff>933450</xdr:colOff>
          <xdr:row>83</xdr:row>
          <xdr:rowOff>304800</xdr:rowOff>
        </xdr:to>
        <xdr:sp macro="" textlink="">
          <xdr:nvSpPr>
            <xdr:cNvPr id="112516" name="Drop Down 2948" hidden="1">
              <a:extLst>
                <a:ext uri="{63B3BB69-23CF-44E3-9099-C40C66FF867C}">
                  <a14:compatExt spid="_x0000_s112516"/>
                </a:ext>
                <a:ext uri="{FF2B5EF4-FFF2-40B4-BE49-F238E27FC236}">
                  <a16:creationId xmlns:a16="http://schemas.microsoft.com/office/drawing/2014/main" id="{00000000-0008-0000-0400-000084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84</xdr:row>
          <xdr:rowOff>85725</xdr:rowOff>
        </xdr:from>
        <xdr:to>
          <xdr:col>6</xdr:col>
          <xdr:colOff>933450</xdr:colOff>
          <xdr:row>84</xdr:row>
          <xdr:rowOff>304800</xdr:rowOff>
        </xdr:to>
        <xdr:sp macro="" textlink="">
          <xdr:nvSpPr>
            <xdr:cNvPr id="112517" name="Drop Down 2949" hidden="1">
              <a:extLst>
                <a:ext uri="{63B3BB69-23CF-44E3-9099-C40C66FF867C}">
                  <a14:compatExt spid="_x0000_s112517"/>
                </a:ext>
                <a:ext uri="{FF2B5EF4-FFF2-40B4-BE49-F238E27FC236}">
                  <a16:creationId xmlns:a16="http://schemas.microsoft.com/office/drawing/2014/main" id="{00000000-0008-0000-0400-00008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86</xdr:row>
          <xdr:rowOff>85725</xdr:rowOff>
        </xdr:from>
        <xdr:to>
          <xdr:col>6</xdr:col>
          <xdr:colOff>933450</xdr:colOff>
          <xdr:row>86</xdr:row>
          <xdr:rowOff>304800</xdr:rowOff>
        </xdr:to>
        <xdr:sp macro="" textlink="">
          <xdr:nvSpPr>
            <xdr:cNvPr id="112518" name="Drop Down 2950" hidden="1">
              <a:extLst>
                <a:ext uri="{63B3BB69-23CF-44E3-9099-C40C66FF867C}">
                  <a14:compatExt spid="_x0000_s112518"/>
                </a:ext>
                <a:ext uri="{FF2B5EF4-FFF2-40B4-BE49-F238E27FC236}">
                  <a16:creationId xmlns:a16="http://schemas.microsoft.com/office/drawing/2014/main" id="{00000000-0008-0000-0400-000086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87</xdr:row>
          <xdr:rowOff>85725</xdr:rowOff>
        </xdr:from>
        <xdr:to>
          <xdr:col>6</xdr:col>
          <xdr:colOff>933450</xdr:colOff>
          <xdr:row>87</xdr:row>
          <xdr:rowOff>304800</xdr:rowOff>
        </xdr:to>
        <xdr:sp macro="" textlink="">
          <xdr:nvSpPr>
            <xdr:cNvPr id="112519" name="Drop Down 2951" hidden="1">
              <a:extLst>
                <a:ext uri="{63B3BB69-23CF-44E3-9099-C40C66FF867C}">
                  <a14:compatExt spid="_x0000_s112519"/>
                </a:ext>
                <a:ext uri="{FF2B5EF4-FFF2-40B4-BE49-F238E27FC236}">
                  <a16:creationId xmlns:a16="http://schemas.microsoft.com/office/drawing/2014/main" id="{00000000-0008-0000-0400-000087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89</xdr:row>
          <xdr:rowOff>85725</xdr:rowOff>
        </xdr:from>
        <xdr:to>
          <xdr:col>6</xdr:col>
          <xdr:colOff>933450</xdr:colOff>
          <xdr:row>89</xdr:row>
          <xdr:rowOff>304800</xdr:rowOff>
        </xdr:to>
        <xdr:sp macro="" textlink="">
          <xdr:nvSpPr>
            <xdr:cNvPr id="112520" name="Drop Down 2952" hidden="1">
              <a:extLst>
                <a:ext uri="{63B3BB69-23CF-44E3-9099-C40C66FF867C}">
                  <a14:compatExt spid="_x0000_s112520"/>
                </a:ext>
                <a:ext uri="{FF2B5EF4-FFF2-40B4-BE49-F238E27FC236}">
                  <a16:creationId xmlns:a16="http://schemas.microsoft.com/office/drawing/2014/main" id="{00000000-0008-0000-0400-000088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91</xdr:row>
          <xdr:rowOff>85725</xdr:rowOff>
        </xdr:from>
        <xdr:to>
          <xdr:col>6</xdr:col>
          <xdr:colOff>933450</xdr:colOff>
          <xdr:row>91</xdr:row>
          <xdr:rowOff>304800</xdr:rowOff>
        </xdr:to>
        <xdr:sp macro="" textlink="">
          <xdr:nvSpPr>
            <xdr:cNvPr id="112521" name="Drop Down 2953" hidden="1">
              <a:extLst>
                <a:ext uri="{63B3BB69-23CF-44E3-9099-C40C66FF867C}">
                  <a14:compatExt spid="_x0000_s112521"/>
                </a:ext>
                <a:ext uri="{FF2B5EF4-FFF2-40B4-BE49-F238E27FC236}">
                  <a16:creationId xmlns:a16="http://schemas.microsoft.com/office/drawing/2014/main" id="{00000000-0008-0000-0400-000089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93</xdr:row>
          <xdr:rowOff>85725</xdr:rowOff>
        </xdr:from>
        <xdr:to>
          <xdr:col>6</xdr:col>
          <xdr:colOff>933450</xdr:colOff>
          <xdr:row>93</xdr:row>
          <xdr:rowOff>304800</xdr:rowOff>
        </xdr:to>
        <xdr:sp macro="" textlink="">
          <xdr:nvSpPr>
            <xdr:cNvPr id="112522" name="Drop Down 2954" hidden="1">
              <a:extLst>
                <a:ext uri="{63B3BB69-23CF-44E3-9099-C40C66FF867C}">
                  <a14:compatExt spid="_x0000_s112522"/>
                </a:ext>
                <a:ext uri="{FF2B5EF4-FFF2-40B4-BE49-F238E27FC236}">
                  <a16:creationId xmlns:a16="http://schemas.microsoft.com/office/drawing/2014/main" id="{00000000-0008-0000-0400-00008A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95</xdr:row>
          <xdr:rowOff>85725</xdr:rowOff>
        </xdr:from>
        <xdr:to>
          <xdr:col>6</xdr:col>
          <xdr:colOff>933450</xdr:colOff>
          <xdr:row>95</xdr:row>
          <xdr:rowOff>304800</xdr:rowOff>
        </xdr:to>
        <xdr:sp macro="" textlink="">
          <xdr:nvSpPr>
            <xdr:cNvPr id="112523" name="Drop Down 2955" hidden="1">
              <a:extLst>
                <a:ext uri="{63B3BB69-23CF-44E3-9099-C40C66FF867C}">
                  <a14:compatExt spid="_x0000_s112523"/>
                </a:ext>
                <a:ext uri="{FF2B5EF4-FFF2-40B4-BE49-F238E27FC236}">
                  <a16:creationId xmlns:a16="http://schemas.microsoft.com/office/drawing/2014/main" id="{00000000-0008-0000-0400-00008B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97</xdr:row>
          <xdr:rowOff>85725</xdr:rowOff>
        </xdr:from>
        <xdr:to>
          <xdr:col>6</xdr:col>
          <xdr:colOff>933450</xdr:colOff>
          <xdr:row>97</xdr:row>
          <xdr:rowOff>304800</xdr:rowOff>
        </xdr:to>
        <xdr:sp macro="" textlink="">
          <xdr:nvSpPr>
            <xdr:cNvPr id="112524" name="Drop Down 2956" hidden="1">
              <a:extLst>
                <a:ext uri="{63B3BB69-23CF-44E3-9099-C40C66FF867C}">
                  <a14:compatExt spid="_x0000_s112524"/>
                </a:ext>
                <a:ext uri="{FF2B5EF4-FFF2-40B4-BE49-F238E27FC236}">
                  <a16:creationId xmlns:a16="http://schemas.microsoft.com/office/drawing/2014/main" id="{00000000-0008-0000-0400-00008C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99</xdr:row>
          <xdr:rowOff>85725</xdr:rowOff>
        </xdr:from>
        <xdr:to>
          <xdr:col>6</xdr:col>
          <xdr:colOff>933450</xdr:colOff>
          <xdr:row>99</xdr:row>
          <xdr:rowOff>304800</xdr:rowOff>
        </xdr:to>
        <xdr:sp macro="" textlink="">
          <xdr:nvSpPr>
            <xdr:cNvPr id="112525" name="Drop Down 2957" hidden="1">
              <a:extLst>
                <a:ext uri="{63B3BB69-23CF-44E3-9099-C40C66FF867C}">
                  <a14:compatExt spid="_x0000_s112525"/>
                </a:ext>
                <a:ext uri="{FF2B5EF4-FFF2-40B4-BE49-F238E27FC236}">
                  <a16:creationId xmlns:a16="http://schemas.microsoft.com/office/drawing/2014/main" id="{00000000-0008-0000-0400-00008D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101</xdr:row>
          <xdr:rowOff>85725</xdr:rowOff>
        </xdr:from>
        <xdr:to>
          <xdr:col>6</xdr:col>
          <xdr:colOff>933450</xdr:colOff>
          <xdr:row>101</xdr:row>
          <xdr:rowOff>304800</xdr:rowOff>
        </xdr:to>
        <xdr:sp macro="" textlink="">
          <xdr:nvSpPr>
            <xdr:cNvPr id="112526" name="Drop Down 2958" hidden="1">
              <a:extLst>
                <a:ext uri="{63B3BB69-23CF-44E3-9099-C40C66FF867C}">
                  <a14:compatExt spid="_x0000_s112526"/>
                </a:ext>
                <a:ext uri="{FF2B5EF4-FFF2-40B4-BE49-F238E27FC236}">
                  <a16:creationId xmlns:a16="http://schemas.microsoft.com/office/drawing/2014/main" id="{00000000-0008-0000-0400-00008E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102</xdr:row>
          <xdr:rowOff>85725</xdr:rowOff>
        </xdr:from>
        <xdr:to>
          <xdr:col>6</xdr:col>
          <xdr:colOff>933450</xdr:colOff>
          <xdr:row>102</xdr:row>
          <xdr:rowOff>304800</xdr:rowOff>
        </xdr:to>
        <xdr:sp macro="" textlink="">
          <xdr:nvSpPr>
            <xdr:cNvPr id="112527" name="Drop Down 2959" hidden="1">
              <a:extLst>
                <a:ext uri="{63B3BB69-23CF-44E3-9099-C40C66FF867C}">
                  <a14:compatExt spid="_x0000_s112527"/>
                </a:ext>
                <a:ext uri="{FF2B5EF4-FFF2-40B4-BE49-F238E27FC236}">
                  <a16:creationId xmlns:a16="http://schemas.microsoft.com/office/drawing/2014/main" id="{00000000-0008-0000-0400-00008F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104</xdr:row>
          <xdr:rowOff>85725</xdr:rowOff>
        </xdr:from>
        <xdr:to>
          <xdr:col>6</xdr:col>
          <xdr:colOff>933450</xdr:colOff>
          <xdr:row>104</xdr:row>
          <xdr:rowOff>304800</xdr:rowOff>
        </xdr:to>
        <xdr:sp macro="" textlink="">
          <xdr:nvSpPr>
            <xdr:cNvPr id="112528" name="Drop Down 2960" hidden="1">
              <a:extLst>
                <a:ext uri="{63B3BB69-23CF-44E3-9099-C40C66FF867C}">
                  <a14:compatExt spid="_x0000_s112528"/>
                </a:ext>
                <a:ext uri="{FF2B5EF4-FFF2-40B4-BE49-F238E27FC236}">
                  <a16:creationId xmlns:a16="http://schemas.microsoft.com/office/drawing/2014/main" id="{00000000-0008-0000-0400-000090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106</xdr:row>
          <xdr:rowOff>85725</xdr:rowOff>
        </xdr:from>
        <xdr:to>
          <xdr:col>6</xdr:col>
          <xdr:colOff>933450</xdr:colOff>
          <xdr:row>106</xdr:row>
          <xdr:rowOff>304800</xdr:rowOff>
        </xdr:to>
        <xdr:sp macro="" textlink="">
          <xdr:nvSpPr>
            <xdr:cNvPr id="112529" name="Drop Down 2961" hidden="1">
              <a:extLst>
                <a:ext uri="{63B3BB69-23CF-44E3-9099-C40C66FF867C}">
                  <a14:compatExt spid="_x0000_s112529"/>
                </a:ext>
                <a:ext uri="{FF2B5EF4-FFF2-40B4-BE49-F238E27FC236}">
                  <a16:creationId xmlns:a16="http://schemas.microsoft.com/office/drawing/2014/main" id="{00000000-0008-0000-0400-000091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108</xdr:row>
          <xdr:rowOff>85725</xdr:rowOff>
        </xdr:from>
        <xdr:to>
          <xdr:col>6</xdr:col>
          <xdr:colOff>933450</xdr:colOff>
          <xdr:row>108</xdr:row>
          <xdr:rowOff>304800</xdr:rowOff>
        </xdr:to>
        <xdr:sp macro="" textlink="">
          <xdr:nvSpPr>
            <xdr:cNvPr id="112530" name="Drop Down 2962" hidden="1">
              <a:extLst>
                <a:ext uri="{63B3BB69-23CF-44E3-9099-C40C66FF867C}">
                  <a14:compatExt spid="_x0000_s112530"/>
                </a:ext>
                <a:ext uri="{FF2B5EF4-FFF2-40B4-BE49-F238E27FC236}">
                  <a16:creationId xmlns:a16="http://schemas.microsoft.com/office/drawing/2014/main" id="{00000000-0008-0000-0400-000092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110</xdr:row>
          <xdr:rowOff>85725</xdr:rowOff>
        </xdr:from>
        <xdr:to>
          <xdr:col>6</xdr:col>
          <xdr:colOff>933450</xdr:colOff>
          <xdr:row>110</xdr:row>
          <xdr:rowOff>304800</xdr:rowOff>
        </xdr:to>
        <xdr:sp macro="" textlink="">
          <xdr:nvSpPr>
            <xdr:cNvPr id="112531" name="Drop Down 2963" hidden="1">
              <a:extLst>
                <a:ext uri="{63B3BB69-23CF-44E3-9099-C40C66FF867C}">
                  <a14:compatExt spid="_x0000_s112531"/>
                </a:ext>
                <a:ext uri="{FF2B5EF4-FFF2-40B4-BE49-F238E27FC236}">
                  <a16:creationId xmlns:a16="http://schemas.microsoft.com/office/drawing/2014/main" id="{00000000-0008-0000-0400-000093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112</xdr:row>
          <xdr:rowOff>85725</xdr:rowOff>
        </xdr:from>
        <xdr:to>
          <xdr:col>6</xdr:col>
          <xdr:colOff>933450</xdr:colOff>
          <xdr:row>112</xdr:row>
          <xdr:rowOff>304800</xdr:rowOff>
        </xdr:to>
        <xdr:sp macro="" textlink="">
          <xdr:nvSpPr>
            <xdr:cNvPr id="112532" name="Drop Down 2964" hidden="1">
              <a:extLst>
                <a:ext uri="{63B3BB69-23CF-44E3-9099-C40C66FF867C}">
                  <a14:compatExt spid="_x0000_s112532"/>
                </a:ext>
                <a:ext uri="{FF2B5EF4-FFF2-40B4-BE49-F238E27FC236}">
                  <a16:creationId xmlns:a16="http://schemas.microsoft.com/office/drawing/2014/main" id="{00000000-0008-0000-0400-000094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113</xdr:row>
          <xdr:rowOff>85725</xdr:rowOff>
        </xdr:from>
        <xdr:to>
          <xdr:col>6</xdr:col>
          <xdr:colOff>933450</xdr:colOff>
          <xdr:row>113</xdr:row>
          <xdr:rowOff>304800</xdr:rowOff>
        </xdr:to>
        <xdr:sp macro="" textlink="">
          <xdr:nvSpPr>
            <xdr:cNvPr id="112533" name="Drop Down 2965" hidden="1">
              <a:extLst>
                <a:ext uri="{63B3BB69-23CF-44E3-9099-C40C66FF867C}">
                  <a14:compatExt spid="_x0000_s112533"/>
                </a:ext>
                <a:ext uri="{FF2B5EF4-FFF2-40B4-BE49-F238E27FC236}">
                  <a16:creationId xmlns:a16="http://schemas.microsoft.com/office/drawing/2014/main" id="{00000000-0008-0000-0400-00009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115</xdr:row>
          <xdr:rowOff>85725</xdr:rowOff>
        </xdr:from>
        <xdr:to>
          <xdr:col>6</xdr:col>
          <xdr:colOff>933450</xdr:colOff>
          <xdr:row>115</xdr:row>
          <xdr:rowOff>304800</xdr:rowOff>
        </xdr:to>
        <xdr:sp macro="" textlink="">
          <xdr:nvSpPr>
            <xdr:cNvPr id="112534" name="Drop Down 2966" hidden="1">
              <a:extLst>
                <a:ext uri="{63B3BB69-23CF-44E3-9099-C40C66FF867C}">
                  <a14:compatExt spid="_x0000_s112534"/>
                </a:ext>
                <a:ext uri="{FF2B5EF4-FFF2-40B4-BE49-F238E27FC236}">
                  <a16:creationId xmlns:a16="http://schemas.microsoft.com/office/drawing/2014/main" id="{00000000-0008-0000-0400-000096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116</xdr:row>
          <xdr:rowOff>85725</xdr:rowOff>
        </xdr:from>
        <xdr:to>
          <xdr:col>6</xdr:col>
          <xdr:colOff>933450</xdr:colOff>
          <xdr:row>116</xdr:row>
          <xdr:rowOff>304800</xdr:rowOff>
        </xdr:to>
        <xdr:sp macro="" textlink="">
          <xdr:nvSpPr>
            <xdr:cNvPr id="112535" name="Drop Down 2967" hidden="1">
              <a:extLst>
                <a:ext uri="{63B3BB69-23CF-44E3-9099-C40C66FF867C}">
                  <a14:compatExt spid="_x0000_s112535"/>
                </a:ext>
                <a:ext uri="{FF2B5EF4-FFF2-40B4-BE49-F238E27FC236}">
                  <a16:creationId xmlns:a16="http://schemas.microsoft.com/office/drawing/2014/main" id="{00000000-0008-0000-0400-000097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117</xdr:row>
          <xdr:rowOff>85725</xdr:rowOff>
        </xdr:from>
        <xdr:to>
          <xdr:col>6</xdr:col>
          <xdr:colOff>933450</xdr:colOff>
          <xdr:row>117</xdr:row>
          <xdr:rowOff>304800</xdr:rowOff>
        </xdr:to>
        <xdr:sp macro="" textlink="">
          <xdr:nvSpPr>
            <xdr:cNvPr id="112536" name="Drop Down 2968" hidden="1">
              <a:extLst>
                <a:ext uri="{63B3BB69-23CF-44E3-9099-C40C66FF867C}">
                  <a14:compatExt spid="_x0000_s112536"/>
                </a:ext>
                <a:ext uri="{FF2B5EF4-FFF2-40B4-BE49-F238E27FC236}">
                  <a16:creationId xmlns:a16="http://schemas.microsoft.com/office/drawing/2014/main" id="{00000000-0008-0000-0400-000098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119</xdr:row>
          <xdr:rowOff>85725</xdr:rowOff>
        </xdr:from>
        <xdr:to>
          <xdr:col>6</xdr:col>
          <xdr:colOff>933450</xdr:colOff>
          <xdr:row>119</xdr:row>
          <xdr:rowOff>304800</xdr:rowOff>
        </xdr:to>
        <xdr:sp macro="" textlink="">
          <xdr:nvSpPr>
            <xdr:cNvPr id="112537" name="Drop Down 2969" hidden="1">
              <a:extLst>
                <a:ext uri="{63B3BB69-23CF-44E3-9099-C40C66FF867C}">
                  <a14:compatExt spid="_x0000_s112537"/>
                </a:ext>
                <a:ext uri="{FF2B5EF4-FFF2-40B4-BE49-F238E27FC236}">
                  <a16:creationId xmlns:a16="http://schemas.microsoft.com/office/drawing/2014/main" id="{00000000-0008-0000-0400-000099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121</xdr:row>
          <xdr:rowOff>85725</xdr:rowOff>
        </xdr:from>
        <xdr:to>
          <xdr:col>6</xdr:col>
          <xdr:colOff>933450</xdr:colOff>
          <xdr:row>121</xdr:row>
          <xdr:rowOff>304800</xdr:rowOff>
        </xdr:to>
        <xdr:sp macro="" textlink="">
          <xdr:nvSpPr>
            <xdr:cNvPr id="112538" name="Drop Down 2970" hidden="1">
              <a:extLst>
                <a:ext uri="{63B3BB69-23CF-44E3-9099-C40C66FF867C}">
                  <a14:compatExt spid="_x0000_s112538"/>
                </a:ext>
                <a:ext uri="{FF2B5EF4-FFF2-40B4-BE49-F238E27FC236}">
                  <a16:creationId xmlns:a16="http://schemas.microsoft.com/office/drawing/2014/main" id="{00000000-0008-0000-0400-00009A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122</xdr:row>
          <xdr:rowOff>85725</xdr:rowOff>
        </xdr:from>
        <xdr:to>
          <xdr:col>6</xdr:col>
          <xdr:colOff>933450</xdr:colOff>
          <xdr:row>122</xdr:row>
          <xdr:rowOff>304800</xdr:rowOff>
        </xdr:to>
        <xdr:sp macro="" textlink="">
          <xdr:nvSpPr>
            <xdr:cNvPr id="112539" name="Drop Down 2971" hidden="1">
              <a:extLst>
                <a:ext uri="{63B3BB69-23CF-44E3-9099-C40C66FF867C}">
                  <a14:compatExt spid="_x0000_s112539"/>
                </a:ext>
                <a:ext uri="{FF2B5EF4-FFF2-40B4-BE49-F238E27FC236}">
                  <a16:creationId xmlns:a16="http://schemas.microsoft.com/office/drawing/2014/main" id="{00000000-0008-0000-0400-00009B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124</xdr:row>
          <xdr:rowOff>85725</xdr:rowOff>
        </xdr:from>
        <xdr:to>
          <xdr:col>6</xdr:col>
          <xdr:colOff>933450</xdr:colOff>
          <xdr:row>124</xdr:row>
          <xdr:rowOff>304800</xdr:rowOff>
        </xdr:to>
        <xdr:sp macro="" textlink="">
          <xdr:nvSpPr>
            <xdr:cNvPr id="112540" name="Drop Down 2972" hidden="1">
              <a:extLst>
                <a:ext uri="{63B3BB69-23CF-44E3-9099-C40C66FF867C}">
                  <a14:compatExt spid="_x0000_s112540"/>
                </a:ext>
                <a:ext uri="{FF2B5EF4-FFF2-40B4-BE49-F238E27FC236}">
                  <a16:creationId xmlns:a16="http://schemas.microsoft.com/office/drawing/2014/main" id="{00000000-0008-0000-0400-00009C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127</xdr:row>
          <xdr:rowOff>85725</xdr:rowOff>
        </xdr:from>
        <xdr:to>
          <xdr:col>6</xdr:col>
          <xdr:colOff>933450</xdr:colOff>
          <xdr:row>127</xdr:row>
          <xdr:rowOff>304800</xdr:rowOff>
        </xdr:to>
        <xdr:sp macro="" textlink="">
          <xdr:nvSpPr>
            <xdr:cNvPr id="112541" name="Drop Down 2973" hidden="1">
              <a:extLst>
                <a:ext uri="{63B3BB69-23CF-44E3-9099-C40C66FF867C}">
                  <a14:compatExt spid="_x0000_s112541"/>
                </a:ext>
                <a:ext uri="{FF2B5EF4-FFF2-40B4-BE49-F238E27FC236}">
                  <a16:creationId xmlns:a16="http://schemas.microsoft.com/office/drawing/2014/main" id="{00000000-0008-0000-0400-00009D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128</xdr:row>
          <xdr:rowOff>85725</xdr:rowOff>
        </xdr:from>
        <xdr:to>
          <xdr:col>6</xdr:col>
          <xdr:colOff>933450</xdr:colOff>
          <xdr:row>128</xdr:row>
          <xdr:rowOff>304800</xdr:rowOff>
        </xdr:to>
        <xdr:sp macro="" textlink="">
          <xdr:nvSpPr>
            <xdr:cNvPr id="112542" name="Drop Down 2974" hidden="1">
              <a:extLst>
                <a:ext uri="{63B3BB69-23CF-44E3-9099-C40C66FF867C}">
                  <a14:compatExt spid="_x0000_s112542"/>
                </a:ext>
                <a:ext uri="{FF2B5EF4-FFF2-40B4-BE49-F238E27FC236}">
                  <a16:creationId xmlns:a16="http://schemas.microsoft.com/office/drawing/2014/main" id="{00000000-0008-0000-0400-00009E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130</xdr:row>
          <xdr:rowOff>85725</xdr:rowOff>
        </xdr:from>
        <xdr:to>
          <xdr:col>6</xdr:col>
          <xdr:colOff>933450</xdr:colOff>
          <xdr:row>130</xdr:row>
          <xdr:rowOff>304800</xdr:rowOff>
        </xdr:to>
        <xdr:sp macro="" textlink="">
          <xdr:nvSpPr>
            <xdr:cNvPr id="112543" name="Drop Down 2975" hidden="1">
              <a:extLst>
                <a:ext uri="{63B3BB69-23CF-44E3-9099-C40C66FF867C}">
                  <a14:compatExt spid="_x0000_s112543"/>
                </a:ext>
                <a:ext uri="{FF2B5EF4-FFF2-40B4-BE49-F238E27FC236}">
                  <a16:creationId xmlns:a16="http://schemas.microsoft.com/office/drawing/2014/main" id="{00000000-0008-0000-0400-00009F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131</xdr:row>
          <xdr:rowOff>85725</xdr:rowOff>
        </xdr:from>
        <xdr:to>
          <xdr:col>6</xdr:col>
          <xdr:colOff>933450</xdr:colOff>
          <xdr:row>131</xdr:row>
          <xdr:rowOff>304800</xdr:rowOff>
        </xdr:to>
        <xdr:sp macro="" textlink="">
          <xdr:nvSpPr>
            <xdr:cNvPr id="112544" name="Drop Down 2976" hidden="1">
              <a:extLst>
                <a:ext uri="{63B3BB69-23CF-44E3-9099-C40C66FF867C}">
                  <a14:compatExt spid="_x0000_s112544"/>
                </a:ext>
                <a:ext uri="{FF2B5EF4-FFF2-40B4-BE49-F238E27FC236}">
                  <a16:creationId xmlns:a16="http://schemas.microsoft.com/office/drawing/2014/main" id="{00000000-0008-0000-0400-0000A0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132</xdr:row>
          <xdr:rowOff>85725</xdr:rowOff>
        </xdr:from>
        <xdr:to>
          <xdr:col>6</xdr:col>
          <xdr:colOff>933450</xdr:colOff>
          <xdr:row>132</xdr:row>
          <xdr:rowOff>304800</xdr:rowOff>
        </xdr:to>
        <xdr:sp macro="" textlink="">
          <xdr:nvSpPr>
            <xdr:cNvPr id="112545" name="Drop Down 2977" hidden="1">
              <a:extLst>
                <a:ext uri="{63B3BB69-23CF-44E3-9099-C40C66FF867C}">
                  <a14:compatExt spid="_x0000_s112545"/>
                </a:ext>
                <a:ext uri="{FF2B5EF4-FFF2-40B4-BE49-F238E27FC236}">
                  <a16:creationId xmlns:a16="http://schemas.microsoft.com/office/drawing/2014/main" id="{00000000-0008-0000-0400-0000A1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134</xdr:row>
          <xdr:rowOff>85725</xdr:rowOff>
        </xdr:from>
        <xdr:to>
          <xdr:col>6</xdr:col>
          <xdr:colOff>933450</xdr:colOff>
          <xdr:row>134</xdr:row>
          <xdr:rowOff>304800</xdr:rowOff>
        </xdr:to>
        <xdr:sp macro="" textlink="">
          <xdr:nvSpPr>
            <xdr:cNvPr id="112547" name="Drop Down 2979" hidden="1">
              <a:extLst>
                <a:ext uri="{63B3BB69-23CF-44E3-9099-C40C66FF867C}">
                  <a14:compatExt spid="_x0000_s112547"/>
                </a:ext>
                <a:ext uri="{FF2B5EF4-FFF2-40B4-BE49-F238E27FC236}">
                  <a16:creationId xmlns:a16="http://schemas.microsoft.com/office/drawing/2014/main" id="{00000000-0008-0000-0400-0000A3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136</xdr:row>
          <xdr:rowOff>85725</xdr:rowOff>
        </xdr:from>
        <xdr:to>
          <xdr:col>6</xdr:col>
          <xdr:colOff>933450</xdr:colOff>
          <xdr:row>136</xdr:row>
          <xdr:rowOff>304800</xdr:rowOff>
        </xdr:to>
        <xdr:sp macro="" textlink="">
          <xdr:nvSpPr>
            <xdr:cNvPr id="112549" name="Drop Down 2981" hidden="1">
              <a:extLst>
                <a:ext uri="{63B3BB69-23CF-44E3-9099-C40C66FF867C}">
                  <a14:compatExt spid="_x0000_s112549"/>
                </a:ext>
                <a:ext uri="{FF2B5EF4-FFF2-40B4-BE49-F238E27FC236}">
                  <a16:creationId xmlns:a16="http://schemas.microsoft.com/office/drawing/2014/main" id="{00000000-0008-0000-0400-0000A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138</xdr:row>
          <xdr:rowOff>85725</xdr:rowOff>
        </xdr:from>
        <xdr:to>
          <xdr:col>6</xdr:col>
          <xdr:colOff>933450</xdr:colOff>
          <xdr:row>138</xdr:row>
          <xdr:rowOff>304800</xdr:rowOff>
        </xdr:to>
        <xdr:sp macro="" textlink="">
          <xdr:nvSpPr>
            <xdr:cNvPr id="112553" name="Drop Down 2985" hidden="1">
              <a:extLst>
                <a:ext uri="{63B3BB69-23CF-44E3-9099-C40C66FF867C}">
                  <a14:compatExt spid="_x0000_s112553"/>
                </a:ext>
                <a:ext uri="{FF2B5EF4-FFF2-40B4-BE49-F238E27FC236}">
                  <a16:creationId xmlns:a16="http://schemas.microsoft.com/office/drawing/2014/main" id="{00000000-0008-0000-0400-0000A9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139</xdr:row>
          <xdr:rowOff>85725</xdr:rowOff>
        </xdr:from>
        <xdr:to>
          <xdr:col>6</xdr:col>
          <xdr:colOff>933450</xdr:colOff>
          <xdr:row>139</xdr:row>
          <xdr:rowOff>304800</xdr:rowOff>
        </xdr:to>
        <xdr:sp macro="" textlink="">
          <xdr:nvSpPr>
            <xdr:cNvPr id="112554" name="Drop Down 2986" hidden="1">
              <a:extLst>
                <a:ext uri="{63B3BB69-23CF-44E3-9099-C40C66FF867C}">
                  <a14:compatExt spid="_x0000_s112554"/>
                </a:ext>
                <a:ext uri="{FF2B5EF4-FFF2-40B4-BE49-F238E27FC236}">
                  <a16:creationId xmlns:a16="http://schemas.microsoft.com/office/drawing/2014/main" id="{00000000-0008-0000-0400-0000AA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141</xdr:row>
          <xdr:rowOff>85725</xdr:rowOff>
        </xdr:from>
        <xdr:to>
          <xdr:col>6</xdr:col>
          <xdr:colOff>933450</xdr:colOff>
          <xdr:row>141</xdr:row>
          <xdr:rowOff>304800</xdr:rowOff>
        </xdr:to>
        <xdr:sp macro="" textlink="">
          <xdr:nvSpPr>
            <xdr:cNvPr id="112555" name="Drop Down 2987" hidden="1">
              <a:extLst>
                <a:ext uri="{63B3BB69-23CF-44E3-9099-C40C66FF867C}">
                  <a14:compatExt spid="_x0000_s112555"/>
                </a:ext>
                <a:ext uri="{FF2B5EF4-FFF2-40B4-BE49-F238E27FC236}">
                  <a16:creationId xmlns:a16="http://schemas.microsoft.com/office/drawing/2014/main" id="{00000000-0008-0000-0400-0000AB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143</xdr:row>
          <xdr:rowOff>85725</xdr:rowOff>
        </xdr:from>
        <xdr:to>
          <xdr:col>6</xdr:col>
          <xdr:colOff>933450</xdr:colOff>
          <xdr:row>143</xdr:row>
          <xdr:rowOff>304800</xdr:rowOff>
        </xdr:to>
        <xdr:sp macro="" textlink="">
          <xdr:nvSpPr>
            <xdr:cNvPr id="112556" name="Drop Down 2988" hidden="1">
              <a:extLst>
                <a:ext uri="{63B3BB69-23CF-44E3-9099-C40C66FF867C}">
                  <a14:compatExt spid="_x0000_s112556"/>
                </a:ext>
                <a:ext uri="{FF2B5EF4-FFF2-40B4-BE49-F238E27FC236}">
                  <a16:creationId xmlns:a16="http://schemas.microsoft.com/office/drawing/2014/main" id="{00000000-0008-0000-0400-0000AC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145</xdr:row>
          <xdr:rowOff>85725</xdr:rowOff>
        </xdr:from>
        <xdr:to>
          <xdr:col>6</xdr:col>
          <xdr:colOff>933450</xdr:colOff>
          <xdr:row>145</xdr:row>
          <xdr:rowOff>304800</xdr:rowOff>
        </xdr:to>
        <xdr:sp macro="" textlink="">
          <xdr:nvSpPr>
            <xdr:cNvPr id="112557" name="Drop Down 2989" hidden="1">
              <a:extLst>
                <a:ext uri="{63B3BB69-23CF-44E3-9099-C40C66FF867C}">
                  <a14:compatExt spid="_x0000_s112557"/>
                </a:ext>
                <a:ext uri="{FF2B5EF4-FFF2-40B4-BE49-F238E27FC236}">
                  <a16:creationId xmlns:a16="http://schemas.microsoft.com/office/drawing/2014/main" id="{00000000-0008-0000-0400-0000AD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147</xdr:row>
          <xdr:rowOff>85725</xdr:rowOff>
        </xdr:from>
        <xdr:to>
          <xdr:col>6</xdr:col>
          <xdr:colOff>933450</xdr:colOff>
          <xdr:row>147</xdr:row>
          <xdr:rowOff>304800</xdr:rowOff>
        </xdr:to>
        <xdr:sp macro="" textlink="">
          <xdr:nvSpPr>
            <xdr:cNvPr id="112558" name="Drop Down 2990" hidden="1">
              <a:extLst>
                <a:ext uri="{63B3BB69-23CF-44E3-9099-C40C66FF867C}">
                  <a14:compatExt spid="_x0000_s112558"/>
                </a:ext>
                <a:ext uri="{FF2B5EF4-FFF2-40B4-BE49-F238E27FC236}">
                  <a16:creationId xmlns:a16="http://schemas.microsoft.com/office/drawing/2014/main" id="{00000000-0008-0000-0400-0000AE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149</xdr:row>
          <xdr:rowOff>85725</xdr:rowOff>
        </xdr:from>
        <xdr:to>
          <xdr:col>6</xdr:col>
          <xdr:colOff>933450</xdr:colOff>
          <xdr:row>149</xdr:row>
          <xdr:rowOff>304800</xdr:rowOff>
        </xdr:to>
        <xdr:sp macro="" textlink="">
          <xdr:nvSpPr>
            <xdr:cNvPr id="112559" name="Drop Down 2991" hidden="1">
              <a:extLst>
                <a:ext uri="{63B3BB69-23CF-44E3-9099-C40C66FF867C}">
                  <a14:compatExt spid="_x0000_s112559"/>
                </a:ext>
                <a:ext uri="{FF2B5EF4-FFF2-40B4-BE49-F238E27FC236}">
                  <a16:creationId xmlns:a16="http://schemas.microsoft.com/office/drawing/2014/main" id="{00000000-0008-0000-0400-0000AF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150</xdr:row>
          <xdr:rowOff>85725</xdr:rowOff>
        </xdr:from>
        <xdr:to>
          <xdr:col>6</xdr:col>
          <xdr:colOff>933450</xdr:colOff>
          <xdr:row>150</xdr:row>
          <xdr:rowOff>304800</xdr:rowOff>
        </xdr:to>
        <xdr:sp macro="" textlink="">
          <xdr:nvSpPr>
            <xdr:cNvPr id="112560" name="Drop Down 2992" hidden="1">
              <a:extLst>
                <a:ext uri="{63B3BB69-23CF-44E3-9099-C40C66FF867C}">
                  <a14:compatExt spid="_x0000_s112560"/>
                </a:ext>
                <a:ext uri="{FF2B5EF4-FFF2-40B4-BE49-F238E27FC236}">
                  <a16:creationId xmlns:a16="http://schemas.microsoft.com/office/drawing/2014/main" id="{00000000-0008-0000-0400-0000B0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151</xdr:row>
          <xdr:rowOff>85725</xdr:rowOff>
        </xdr:from>
        <xdr:to>
          <xdr:col>6</xdr:col>
          <xdr:colOff>933450</xdr:colOff>
          <xdr:row>151</xdr:row>
          <xdr:rowOff>304800</xdr:rowOff>
        </xdr:to>
        <xdr:sp macro="" textlink="">
          <xdr:nvSpPr>
            <xdr:cNvPr id="112561" name="Drop Down 2993" hidden="1">
              <a:extLst>
                <a:ext uri="{63B3BB69-23CF-44E3-9099-C40C66FF867C}">
                  <a14:compatExt spid="_x0000_s112561"/>
                </a:ext>
                <a:ext uri="{FF2B5EF4-FFF2-40B4-BE49-F238E27FC236}">
                  <a16:creationId xmlns:a16="http://schemas.microsoft.com/office/drawing/2014/main" id="{00000000-0008-0000-0400-0000B1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153</xdr:row>
          <xdr:rowOff>85725</xdr:rowOff>
        </xdr:from>
        <xdr:to>
          <xdr:col>6</xdr:col>
          <xdr:colOff>933450</xdr:colOff>
          <xdr:row>153</xdr:row>
          <xdr:rowOff>304800</xdr:rowOff>
        </xdr:to>
        <xdr:sp macro="" textlink="">
          <xdr:nvSpPr>
            <xdr:cNvPr id="112562" name="Drop Down 2994" hidden="1">
              <a:extLst>
                <a:ext uri="{63B3BB69-23CF-44E3-9099-C40C66FF867C}">
                  <a14:compatExt spid="_x0000_s112562"/>
                </a:ext>
                <a:ext uri="{FF2B5EF4-FFF2-40B4-BE49-F238E27FC236}">
                  <a16:creationId xmlns:a16="http://schemas.microsoft.com/office/drawing/2014/main" id="{00000000-0008-0000-0400-0000B2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154</xdr:row>
          <xdr:rowOff>85725</xdr:rowOff>
        </xdr:from>
        <xdr:to>
          <xdr:col>6</xdr:col>
          <xdr:colOff>933450</xdr:colOff>
          <xdr:row>154</xdr:row>
          <xdr:rowOff>304800</xdr:rowOff>
        </xdr:to>
        <xdr:sp macro="" textlink="">
          <xdr:nvSpPr>
            <xdr:cNvPr id="112563" name="Drop Down 2995" hidden="1">
              <a:extLst>
                <a:ext uri="{63B3BB69-23CF-44E3-9099-C40C66FF867C}">
                  <a14:compatExt spid="_x0000_s112563"/>
                </a:ext>
                <a:ext uri="{FF2B5EF4-FFF2-40B4-BE49-F238E27FC236}">
                  <a16:creationId xmlns:a16="http://schemas.microsoft.com/office/drawing/2014/main" id="{00000000-0008-0000-0400-0000B3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156</xdr:row>
          <xdr:rowOff>85725</xdr:rowOff>
        </xdr:from>
        <xdr:to>
          <xdr:col>6</xdr:col>
          <xdr:colOff>933450</xdr:colOff>
          <xdr:row>156</xdr:row>
          <xdr:rowOff>304800</xdr:rowOff>
        </xdr:to>
        <xdr:sp macro="" textlink="">
          <xdr:nvSpPr>
            <xdr:cNvPr id="112564" name="Drop Down 2996" hidden="1">
              <a:extLst>
                <a:ext uri="{63B3BB69-23CF-44E3-9099-C40C66FF867C}">
                  <a14:compatExt spid="_x0000_s112564"/>
                </a:ext>
                <a:ext uri="{FF2B5EF4-FFF2-40B4-BE49-F238E27FC236}">
                  <a16:creationId xmlns:a16="http://schemas.microsoft.com/office/drawing/2014/main" id="{00000000-0008-0000-0400-0000B4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158</xdr:row>
          <xdr:rowOff>85725</xdr:rowOff>
        </xdr:from>
        <xdr:to>
          <xdr:col>6</xdr:col>
          <xdr:colOff>933450</xdr:colOff>
          <xdr:row>158</xdr:row>
          <xdr:rowOff>304800</xdr:rowOff>
        </xdr:to>
        <xdr:sp macro="" textlink="">
          <xdr:nvSpPr>
            <xdr:cNvPr id="112565" name="Drop Down 2997" hidden="1">
              <a:extLst>
                <a:ext uri="{63B3BB69-23CF-44E3-9099-C40C66FF867C}">
                  <a14:compatExt spid="_x0000_s112565"/>
                </a:ext>
                <a:ext uri="{FF2B5EF4-FFF2-40B4-BE49-F238E27FC236}">
                  <a16:creationId xmlns:a16="http://schemas.microsoft.com/office/drawing/2014/main" id="{00000000-0008-0000-0400-0000B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160</xdr:row>
          <xdr:rowOff>85725</xdr:rowOff>
        </xdr:from>
        <xdr:to>
          <xdr:col>6</xdr:col>
          <xdr:colOff>933450</xdr:colOff>
          <xdr:row>160</xdr:row>
          <xdr:rowOff>304800</xdr:rowOff>
        </xdr:to>
        <xdr:sp macro="" textlink="">
          <xdr:nvSpPr>
            <xdr:cNvPr id="112566" name="Drop Down 2998" hidden="1">
              <a:extLst>
                <a:ext uri="{63B3BB69-23CF-44E3-9099-C40C66FF867C}">
                  <a14:compatExt spid="_x0000_s112566"/>
                </a:ext>
                <a:ext uri="{FF2B5EF4-FFF2-40B4-BE49-F238E27FC236}">
                  <a16:creationId xmlns:a16="http://schemas.microsoft.com/office/drawing/2014/main" id="{00000000-0008-0000-0400-0000B6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161</xdr:row>
          <xdr:rowOff>85725</xdr:rowOff>
        </xdr:from>
        <xdr:to>
          <xdr:col>6</xdr:col>
          <xdr:colOff>933450</xdr:colOff>
          <xdr:row>161</xdr:row>
          <xdr:rowOff>304800</xdr:rowOff>
        </xdr:to>
        <xdr:sp macro="" textlink="">
          <xdr:nvSpPr>
            <xdr:cNvPr id="112567" name="Drop Down 2999" hidden="1">
              <a:extLst>
                <a:ext uri="{63B3BB69-23CF-44E3-9099-C40C66FF867C}">
                  <a14:compatExt spid="_x0000_s112567"/>
                </a:ext>
                <a:ext uri="{FF2B5EF4-FFF2-40B4-BE49-F238E27FC236}">
                  <a16:creationId xmlns:a16="http://schemas.microsoft.com/office/drawing/2014/main" id="{00000000-0008-0000-0400-0000B7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162</xdr:row>
          <xdr:rowOff>85725</xdr:rowOff>
        </xdr:from>
        <xdr:to>
          <xdr:col>6</xdr:col>
          <xdr:colOff>933450</xdr:colOff>
          <xdr:row>162</xdr:row>
          <xdr:rowOff>304800</xdr:rowOff>
        </xdr:to>
        <xdr:sp macro="" textlink="">
          <xdr:nvSpPr>
            <xdr:cNvPr id="112568" name="Drop Down 3000" hidden="1">
              <a:extLst>
                <a:ext uri="{63B3BB69-23CF-44E3-9099-C40C66FF867C}">
                  <a14:compatExt spid="_x0000_s112568"/>
                </a:ext>
                <a:ext uri="{FF2B5EF4-FFF2-40B4-BE49-F238E27FC236}">
                  <a16:creationId xmlns:a16="http://schemas.microsoft.com/office/drawing/2014/main" id="{00000000-0008-0000-0400-0000B8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163</xdr:row>
          <xdr:rowOff>85725</xdr:rowOff>
        </xdr:from>
        <xdr:to>
          <xdr:col>6</xdr:col>
          <xdr:colOff>933450</xdr:colOff>
          <xdr:row>163</xdr:row>
          <xdr:rowOff>304800</xdr:rowOff>
        </xdr:to>
        <xdr:sp macro="" textlink="">
          <xdr:nvSpPr>
            <xdr:cNvPr id="112569" name="Drop Down 3001" hidden="1">
              <a:extLst>
                <a:ext uri="{63B3BB69-23CF-44E3-9099-C40C66FF867C}">
                  <a14:compatExt spid="_x0000_s112569"/>
                </a:ext>
                <a:ext uri="{FF2B5EF4-FFF2-40B4-BE49-F238E27FC236}">
                  <a16:creationId xmlns:a16="http://schemas.microsoft.com/office/drawing/2014/main" id="{00000000-0008-0000-0400-0000B9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164</xdr:row>
          <xdr:rowOff>85725</xdr:rowOff>
        </xdr:from>
        <xdr:to>
          <xdr:col>6</xdr:col>
          <xdr:colOff>933450</xdr:colOff>
          <xdr:row>164</xdr:row>
          <xdr:rowOff>304800</xdr:rowOff>
        </xdr:to>
        <xdr:sp macro="" textlink="">
          <xdr:nvSpPr>
            <xdr:cNvPr id="112570" name="Drop Down 3002" hidden="1">
              <a:extLst>
                <a:ext uri="{63B3BB69-23CF-44E3-9099-C40C66FF867C}">
                  <a14:compatExt spid="_x0000_s112570"/>
                </a:ext>
                <a:ext uri="{FF2B5EF4-FFF2-40B4-BE49-F238E27FC236}">
                  <a16:creationId xmlns:a16="http://schemas.microsoft.com/office/drawing/2014/main" id="{00000000-0008-0000-0400-0000BA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165</xdr:row>
          <xdr:rowOff>85725</xdr:rowOff>
        </xdr:from>
        <xdr:to>
          <xdr:col>6</xdr:col>
          <xdr:colOff>933450</xdr:colOff>
          <xdr:row>165</xdr:row>
          <xdr:rowOff>304800</xdr:rowOff>
        </xdr:to>
        <xdr:sp macro="" textlink="">
          <xdr:nvSpPr>
            <xdr:cNvPr id="112571" name="Drop Down 3003" hidden="1">
              <a:extLst>
                <a:ext uri="{63B3BB69-23CF-44E3-9099-C40C66FF867C}">
                  <a14:compatExt spid="_x0000_s112571"/>
                </a:ext>
                <a:ext uri="{FF2B5EF4-FFF2-40B4-BE49-F238E27FC236}">
                  <a16:creationId xmlns:a16="http://schemas.microsoft.com/office/drawing/2014/main" id="{00000000-0008-0000-0400-0000BB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168</xdr:row>
          <xdr:rowOff>85725</xdr:rowOff>
        </xdr:from>
        <xdr:to>
          <xdr:col>6</xdr:col>
          <xdr:colOff>933450</xdr:colOff>
          <xdr:row>168</xdr:row>
          <xdr:rowOff>304800</xdr:rowOff>
        </xdr:to>
        <xdr:sp macro="" textlink="">
          <xdr:nvSpPr>
            <xdr:cNvPr id="112572" name="Drop Down 3004" hidden="1">
              <a:extLst>
                <a:ext uri="{63B3BB69-23CF-44E3-9099-C40C66FF867C}">
                  <a14:compatExt spid="_x0000_s112572"/>
                </a:ext>
                <a:ext uri="{FF2B5EF4-FFF2-40B4-BE49-F238E27FC236}">
                  <a16:creationId xmlns:a16="http://schemas.microsoft.com/office/drawing/2014/main" id="{00000000-0008-0000-0400-0000BC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169</xdr:row>
          <xdr:rowOff>85725</xdr:rowOff>
        </xdr:from>
        <xdr:to>
          <xdr:col>6</xdr:col>
          <xdr:colOff>933450</xdr:colOff>
          <xdr:row>169</xdr:row>
          <xdr:rowOff>304800</xdr:rowOff>
        </xdr:to>
        <xdr:sp macro="" textlink="">
          <xdr:nvSpPr>
            <xdr:cNvPr id="112573" name="Drop Down 3005" hidden="1">
              <a:extLst>
                <a:ext uri="{63B3BB69-23CF-44E3-9099-C40C66FF867C}">
                  <a14:compatExt spid="_x0000_s112573"/>
                </a:ext>
                <a:ext uri="{FF2B5EF4-FFF2-40B4-BE49-F238E27FC236}">
                  <a16:creationId xmlns:a16="http://schemas.microsoft.com/office/drawing/2014/main" id="{00000000-0008-0000-0400-0000BD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171</xdr:row>
          <xdr:rowOff>85725</xdr:rowOff>
        </xdr:from>
        <xdr:to>
          <xdr:col>6</xdr:col>
          <xdr:colOff>933450</xdr:colOff>
          <xdr:row>171</xdr:row>
          <xdr:rowOff>304800</xdr:rowOff>
        </xdr:to>
        <xdr:sp macro="" textlink="">
          <xdr:nvSpPr>
            <xdr:cNvPr id="112574" name="Drop Down 3006" hidden="1">
              <a:extLst>
                <a:ext uri="{63B3BB69-23CF-44E3-9099-C40C66FF867C}">
                  <a14:compatExt spid="_x0000_s112574"/>
                </a:ext>
                <a:ext uri="{FF2B5EF4-FFF2-40B4-BE49-F238E27FC236}">
                  <a16:creationId xmlns:a16="http://schemas.microsoft.com/office/drawing/2014/main" id="{00000000-0008-0000-0400-0000BE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172</xdr:row>
          <xdr:rowOff>85725</xdr:rowOff>
        </xdr:from>
        <xdr:to>
          <xdr:col>6</xdr:col>
          <xdr:colOff>933450</xdr:colOff>
          <xdr:row>172</xdr:row>
          <xdr:rowOff>304800</xdr:rowOff>
        </xdr:to>
        <xdr:sp macro="" textlink="">
          <xdr:nvSpPr>
            <xdr:cNvPr id="112575" name="Drop Down 3007" hidden="1">
              <a:extLst>
                <a:ext uri="{63B3BB69-23CF-44E3-9099-C40C66FF867C}">
                  <a14:compatExt spid="_x0000_s112575"/>
                </a:ext>
                <a:ext uri="{FF2B5EF4-FFF2-40B4-BE49-F238E27FC236}">
                  <a16:creationId xmlns:a16="http://schemas.microsoft.com/office/drawing/2014/main" id="{00000000-0008-0000-0400-0000BF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173</xdr:row>
          <xdr:rowOff>85725</xdr:rowOff>
        </xdr:from>
        <xdr:to>
          <xdr:col>6</xdr:col>
          <xdr:colOff>933450</xdr:colOff>
          <xdr:row>173</xdr:row>
          <xdr:rowOff>304800</xdr:rowOff>
        </xdr:to>
        <xdr:sp macro="" textlink="">
          <xdr:nvSpPr>
            <xdr:cNvPr id="112576" name="Drop Down 3008" hidden="1">
              <a:extLst>
                <a:ext uri="{63B3BB69-23CF-44E3-9099-C40C66FF867C}">
                  <a14:compatExt spid="_x0000_s112576"/>
                </a:ext>
                <a:ext uri="{FF2B5EF4-FFF2-40B4-BE49-F238E27FC236}">
                  <a16:creationId xmlns:a16="http://schemas.microsoft.com/office/drawing/2014/main" id="{00000000-0008-0000-0400-0000C0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177</xdr:row>
          <xdr:rowOff>85725</xdr:rowOff>
        </xdr:from>
        <xdr:to>
          <xdr:col>6</xdr:col>
          <xdr:colOff>933450</xdr:colOff>
          <xdr:row>177</xdr:row>
          <xdr:rowOff>304800</xdr:rowOff>
        </xdr:to>
        <xdr:sp macro="" textlink="">
          <xdr:nvSpPr>
            <xdr:cNvPr id="112577" name="Drop Down 3009" hidden="1">
              <a:extLst>
                <a:ext uri="{63B3BB69-23CF-44E3-9099-C40C66FF867C}">
                  <a14:compatExt spid="_x0000_s112577"/>
                </a:ext>
                <a:ext uri="{FF2B5EF4-FFF2-40B4-BE49-F238E27FC236}">
                  <a16:creationId xmlns:a16="http://schemas.microsoft.com/office/drawing/2014/main" id="{00000000-0008-0000-0400-0000C1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178</xdr:row>
          <xdr:rowOff>85725</xdr:rowOff>
        </xdr:from>
        <xdr:to>
          <xdr:col>6</xdr:col>
          <xdr:colOff>933450</xdr:colOff>
          <xdr:row>178</xdr:row>
          <xdr:rowOff>304800</xdr:rowOff>
        </xdr:to>
        <xdr:sp macro="" textlink="">
          <xdr:nvSpPr>
            <xdr:cNvPr id="112578" name="Drop Down 3010" hidden="1">
              <a:extLst>
                <a:ext uri="{63B3BB69-23CF-44E3-9099-C40C66FF867C}">
                  <a14:compatExt spid="_x0000_s112578"/>
                </a:ext>
                <a:ext uri="{FF2B5EF4-FFF2-40B4-BE49-F238E27FC236}">
                  <a16:creationId xmlns:a16="http://schemas.microsoft.com/office/drawing/2014/main" id="{00000000-0008-0000-0400-0000C2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181</xdr:row>
          <xdr:rowOff>85725</xdr:rowOff>
        </xdr:from>
        <xdr:to>
          <xdr:col>6</xdr:col>
          <xdr:colOff>933450</xdr:colOff>
          <xdr:row>181</xdr:row>
          <xdr:rowOff>304800</xdr:rowOff>
        </xdr:to>
        <xdr:sp macro="" textlink="">
          <xdr:nvSpPr>
            <xdr:cNvPr id="112579" name="Drop Down 3011" hidden="1">
              <a:extLst>
                <a:ext uri="{63B3BB69-23CF-44E3-9099-C40C66FF867C}">
                  <a14:compatExt spid="_x0000_s112579"/>
                </a:ext>
                <a:ext uri="{FF2B5EF4-FFF2-40B4-BE49-F238E27FC236}">
                  <a16:creationId xmlns:a16="http://schemas.microsoft.com/office/drawing/2014/main" id="{00000000-0008-0000-0400-0000C3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182</xdr:row>
          <xdr:rowOff>85725</xdr:rowOff>
        </xdr:from>
        <xdr:to>
          <xdr:col>6</xdr:col>
          <xdr:colOff>933450</xdr:colOff>
          <xdr:row>182</xdr:row>
          <xdr:rowOff>304800</xdr:rowOff>
        </xdr:to>
        <xdr:sp macro="" textlink="">
          <xdr:nvSpPr>
            <xdr:cNvPr id="112580" name="Drop Down 3012" hidden="1">
              <a:extLst>
                <a:ext uri="{63B3BB69-23CF-44E3-9099-C40C66FF867C}">
                  <a14:compatExt spid="_x0000_s112580"/>
                </a:ext>
                <a:ext uri="{FF2B5EF4-FFF2-40B4-BE49-F238E27FC236}">
                  <a16:creationId xmlns:a16="http://schemas.microsoft.com/office/drawing/2014/main" id="{00000000-0008-0000-0400-0000C4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185</xdr:row>
          <xdr:rowOff>85725</xdr:rowOff>
        </xdr:from>
        <xdr:to>
          <xdr:col>6</xdr:col>
          <xdr:colOff>933450</xdr:colOff>
          <xdr:row>185</xdr:row>
          <xdr:rowOff>304800</xdr:rowOff>
        </xdr:to>
        <xdr:sp macro="" textlink="">
          <xdr:nvSpPr>
            <xdr:cNvPr id="112581" name="Drop Down 3013" hidden="1">
              <a:extLst>
                <a:ext uri="{63B3BB69-23CF-44E3-9099-C40C66FF867C}">
                  <a14:compatExt spid="_x0000_s112581"/>
                </a:ext>
                <a:ext uri="{FF2B5EF4-FFF2-40B4-BE49-F238E27FC236}">
                  <a16:creationId xmlns:a16="http://schemas.microsoft.com/office/drawing/2014/main" id="{00000000-0008-0000-0400-0000C5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186</xdr:row>
          <xdr:rowOff>85725</xdr:rowOff>
        </xdr:from>
        <xdr:to>
          <xdr:col>6</xdr:col>
          <xdr:colOff>933450</xdr:colOff>
          <xdr:row>186</xdr:row>
          <xdr:rowOff>304800</xdr:rowOff>
        </xdr:to>
        <xdr:sp macro="" textlink="">
          <xdr:nvSpPr>
            <xdr:cNvPr id="112582" name="Drop Down 3014" hidden="1">
              <a:extLst>
                <a:ext uri="{63B3BB69-23CF-44E3-9099-C40C66FF867C}">
                  <a14:compatExt spid="_x0000_s112582"/>
                </a:ext>
                <a:ext uri="{FF2B5EF4-FFF2-40B4-BE49-F238E27FC236}">
                  <a16:creationId xmlns:a16="http://schemas.microsoft.com/office/drawing/2014/main" id="{00000000-0008-0000-0400-0000C6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187</xdr:row>
          <xdr:rowOff>85725</xdr:rowOff>
        </xdr:from>
        <xdr:to>
          <xdr:col>6</xdr:col>
          <xdr:colOff>933450</xdr:colOff>
          <xdr:row>187</xdr:row>
          <xdr:rowOff>304800</xdr:rowOff>
        </xdr:to>
        <xdr:sp macro="" textlink="">
          <xdr:nvSpPr>
            <xdr:cNvPr id="112583" name="Drop Down 3015" hidden="1">
              <a:extLst>
                <a:ext uri="{63B3BB69-23CF-44E3-9099-C40C66FF867C}">
                  <a14:compatExt spid="_x0000_s112583"/>
                </a:ext>
                <a:ext uri="{FF2B5EF4-FFF2-40B4-BE49-F238E27FC236}">
                  <a16:creationId xmlns:a16="http://schemas.microsoft.com/office/drawing/2014/main" id="{00000000-0008-0000-0400-0000C7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190</xdr:row>
          <xdr:rowOff>85725</xdr:rowOff>
        </xdr:from>
        <xdr:to>
          <xdr:col>6</xdr:col>
          <xdr:colOff>933450</xdr:colOff>
          <xdr:row>190</xdr:row>
          <xdr:rowOff>304800</xdr:rowOff>
        </xdr:to>
        <xdr:sp macro="" textlink="">
          <xdr:nvSpPr>
            <xdr:cNvPr id="112584" name="Drop Down 3016" hidden="1">
              <a:extLst>
                <a:ext uri="{63B3BB69-23CF-44E3-9099-C40C66FF867C}">
                  <a14:compatExt spid="_x0000_s112584"/>
                </a:ext>
                <a:ext uri="{FF2B5EF4-FFF2-40B4-BE49-F238E27FC236}">
                  <a16:creationId xmlns:a16="http://schemas.microsoft.com/office/drawing/2014/main" id="{00000000-0008-0000-0400-0000C8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191</xdr:row>
          <xdr:rowOff>85725</xdr:rowOff>
        </xdr:from>
        <xdr:to>
          <xdr:col>6</xdr:col>
          <xdr:colOff>933450</xdr:colOff>
          <xdr:row>191</xdr:row>
          <xdr:rowOff>304800</xdr:rowOff>
        </xdr:to>
        <xdr:sp macro="" textlink="">
          <xdr:nvSpPr>
            <xdr:cNvPr id="112585" name="Drop Down 3017" hidden="1">
              <a:extLst>
                <a:ext uri="{63B3BB69-23CF-44E3-9099-C40C66FF867C}">
                  <a14:compatExt spid="_x0000_s112585"/>
                </a:ext>
                <a:ext uri="{FF2B5EF4-FFF2-40B4-BE49-F238E27FC236}">
                  <a16:creationId xmlns:a16="http://schemas.microsoft.com/office/drawing/2014/main" id="{00000000-0008-0000-0400-0000C9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194</xdr:row>
          <xdr:rowOff>85725</xdr:rowOff>
        </xdr:from>
        <xdr:to>
          <xdr:col>6</xdr:col>
          <xdr:colOff>933450</xdr:colOff>
          <xdr:row>194</xdr:row>
          <xdr:rowOff>304800</xdr:rowOff>
        </xdr:to>
        <xdr:sp macro="" textlink="">
          <xdr:nvSpPr>
            <xdr:cNvPr id="112586" name="Drop Down 3018" hidden="1">
              <a:extLst>
                <a:ext uri="{63B3BB69-23CF-44E3-9099-C40C66FF867C}">
                  <a14:compatExt spid="_x0000_s112586"/>
                </a:ext>
                <a:ext uri="{FF2B5EF4-FFF2-40B4-BE49-F238E27FC236}">
                  <a16:creationId xmlns:a16="http://schemas.microsoft.com/office/drawing/2014/main" id="{00000000-0008-0000-0400-0000CA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195</xdr:row>
          <xdr:rowOff>85725</xdr:rowOff>
        </xdr:from>
        <xdr:to>
          <xdr:col>6</xdr:col>
          <xdr:colOff>933450</xdr:colOff>
          <xdr:row>195</xdr:row>
          <xdr:rowOff>304800</xdr:rowOff>
        </xdr:to>
        <xdr:sp macro="" textlink="">
          <xdr:nvSpPr>
            <xdr:cNvPr id="112587" name="Drop Down 3019" hidden="1">
              <a:extLst>
                <a:ext uri="{63B3BB69-23CF-44E3-9099-C40C66FF867C}">
                  <a14:compatExt spid="_x0000_s112587"/>
                </a:ext>
                <a:ext uri="{FF2B5EF4-FFF2-40B4-BE49-F238E27FC236}">
                  <a16:creationId xmlns:a16="http://schemas.microsoft.com/office/drawing/2014/main" id="{00000000-0008-0000-0400-0000CB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196</xdr:row>
          <xdr:rowOff>85725</xdr:rowOff>
        </xdr:from>
        <xdr:to>
          <xdr:col>6</xdr:col>
          <xdr:colOff>933450</xdr:colOff>
          <xdr:row>196</xdr:row>
          <xdr:rowOff>304800</xdr:rowOff>
        </xdr:to>
        <xdr:sp macro="" textlink="">
          <xdr:nvSpPr>
            <xdr:cNvPr id="112588" name="Drop Down 3020" hidden="1">
              <a:extLst>
                <a:ext uri="{63B3BB69-23CF-44E3-9099-C40C66FF867C}">
                  <a14:compatExt spid="_x0000_s112588"/>
                </a:ext>
                <a:ext uri="{FF2B5EF4-FFF2-40B4-BE49-F238E27FC236}">
                  <a16:creationId xmlns:a16="http://schemas.microsoft.com/office/drawing/2014/main" id="{00000000-0008-0000-0400-0000CC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197</xdr:row>
          <xdr:rowOff>85725</xdr:rowOff>
        </xdr:from>
        <xdr:to>
          <xdr:col>6</xdr:col>
          <xdr:colOff>933450</xdr:colOff>
          <xdr:row>197</xdr:row>
          <xdr:rowOff>304800</xdr:rowOff>
        </xdr:to>
        <xdr:sp macro="" textlink="">
          <xdr:nvSpPr>
            <xdr:cNvPr id="112589" name="Drop Down 3021" hidden="1">
              <a:extLst>
                <a:ext uri="{63B3BB69-23CF-44E3-9099-C40C66FF867C}">
                  <a14:compatExt spid="_x0000_s112589"/>
                </a:ext>
                <a:ext uri="{FF2B5EF4-FFF2-40B4-BE49-F238E27FC236}">
                  <a16:creationId xmlns:a16="http://schemas.microsoft.com/office/drawing/2014/main" id="{00000000-0008-0000-0400-0000CD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199</xdr:row>
          <xdr:rowOff>85725</xdr:rowOff>
        </xdr:from>
        <xdr:to>
          <xdr:col>6</xdr:col>
          <xdr:colOff>933450</xdr:colOff>
          <xdr:row>199</xdr:row>
          <xdr:rowOff>304800</xdr:rowOff>
        </xdr:to>
        <xdr:sp macro="" textlink="">
          <xdr:nvSpPr>
            <xdr:cNvPr id="112590" name="Drop Down 3022" hidden="1">
              <a:extLst>
                <a:ext uri="{63B3BB69-23CF-44E3-9099-C40C66FF867C}">
                  <a14:compatExt spid="_x0000_s112590"/>
                </a:ext>
                <a:ext uri="{FF2B5EF4-FFF2-40B4-BE49-F238E27FC236}">
                  <a16:creationId xmlns:a16="http://schemas.microsoft.com/office/drawing/2014/main" id="{00000000-0008-0000-0400-0000CE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200</xdr:row>
          <xdr:rowOff>85725</xdr:rowOff>
        </xdr:from>
        <xdr:to>
          <xdr:col>6</xdr:col>
          <xdr:colOff>933450</xdr:colOff>
          <xdr:row>200</xdr:row>
          <xdr:rowOff>304800</xdr:rowOff>
        </xdr:to>
        <xdr:sp macro="" textlink="">
          <xdr:nvSpPr>
            <xdr:cNvPr id="112591" name="Drop Down 3023" hidden="1">
              <a:extLst>
                <a:ext uri="{63B3BB69-23CF-44E3-9099-C40C66FF867C}">
                  <a14:compatExt spid="_x0000_s112591"/>
                </a:ext>
                <a:ext uri="{FF2B5EF4-FFF2-40B4-BE49-F238E27FC236}">
                  <a16:creationId xmlns:a16="http://schemas.microsoft.com/office/drawing/2014/main" id="{00000000-0008-0000-0400-0000CF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201</xdr:row>
          <xdr:rowOff>85725</xdr:rowOff>
        </xdr:from>
        <xdr:to>
          <xdr:col>6</xdr:col>
          <xdr:colOff>933450</xdr:colOff>
          <xdr:row>201</xdr:row>
          <xdr:rowOff>304800</xdr:rowOff>
        </xdr:to>
        <xdr:sp macro="" textlink="">
          <xdr:nvSpPr>
            <xdr:cNvPr id="112592" name="Drop Down 3024" hidden="1">
              <a:extLst>
                <a:ext uri="{63B3BB69-23CF-44E3-9099-C40C66FF867C}">
                  <a14:compatExt spid="_x0000_s112592"/>
                </a:ext>
                <a:ext uri="{FF2B5EF4-FFF2-40B4-BE49-F238E27FC236}">
                  <a16:creationId xmlns:a16="http://schemas.microsoft.com/office/drawing/2014/main" id="{00000000-0008-0000-0400-0000D0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202</xdr:row>
          <xdr:rowOff>85725</xdr:rowOff>
        </xdr:from>
        <xdr:to>
          <xdr:col>6</xdr:col>
          <xdr:colOff>933450</xdr:colOff>
          <xdr:row>202</xdr:row>
          <xdr:rowOff>304800</xdr:rowOff>
        </xdr:to>
        <xdr:sp macro="" textlink="">
          <xdr:nvSpPr>
            <xdr:cNvPr id="112593" name="Drop Down 3025" hidden="1">
              <a:extLst>
                <a:ext uri="{63B3BB69-23CF-44E3-9099-C40C66FF867C}">
                  <a14:compatExt spid="_x0000_s112593"/>
                </a:ext>
                <a:ext uri="{FF2B5EF4-FFF2-40B4-BE49-F238E27FC236}">
                  <a16:creationId xmlns:a16="http://schemas.microsoft.com/office/drawing/2014/main" id="{00000000-0008-0000-0400-0000D1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203</xdr:row>
          <xdr:rowOff>85725</xdr:rowOff>
        </xdr:from>
        <xdr:to>
          <xdr:col>6</xdr:col>
          <xdr:colOff>933450</xdr:colOff>
          <xdr:row>203</xdr:row>
          <xdr:rowOff>304800</xdr:rowOff>
        </xdr:to>
        <xdr:sp macro="" textlink="">
          <xdr:nvSpPr>
            <xdr:cNvPr id="112594" name="Drop Down 3026" hidden="1">
              <a:extLst>
                <a:ext uri="{63B3BB69-23CF-44E3-9099-C40C66FF867C}">
                  <a14:compatExt spid="_x0000_s112594"/>
                </a:ext>
                <a:ext uri="{FF2B5EF4-FFF2-40B4-BE49-F238E27FC236}">
                  <a16:creationId xmlns:a16="http://schemas.microsoft.com/office/drawing/2014/main" id="{00000000-0008-0000-0400-0000D2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204</xdr:row>
          <xdr:rowOff>85725</xdr:rowOff>
        </xdr:from>
        <xdr:to>
          <xdr:col>6</xdr:col>
          <xdr:colOff>933450</xdr:colOff>
          <xdr:row>204</xdr:row>
          <xdr:rowOff>304800</xdr:rowOff>
        </xdr:to>
        <xdr:sp macro="" textlink="">
          <xdr:nvSpPr>
            <xdr:cNvPr id="112595" name="Drop Down 3027" hidden="1">
              <a:extLst>
                <a:ext uri="{63B3BB69-23CF-44E3-9099-C40C66FF867C}">
                  <a14:compatExt spid="_x0000_s112595"/>
                </a:ext>
                <a:ext uri="{FF2B5EF4-FFF2-40B4-BE49-F238E27FC236}">
                  <a16:creationId xmlns:a16="http://schemas.microsoft.com/office/drawing/2014/main" id="{00000000-0008-0000-0400-0000D3B7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3</xdr:col>
      <xdr:colOff>226219</xdr:colOff>
      <xdr:row>0</xdr:row>
      <xdr:rowOff>119062</xdr:rowOff>
    </xdr:from>
    <xdr:to>
      <xdr:col>3</xdr:col>
      <xdr:colOff>1252219</xdr:colOff>
      <xdr:row>0</xdr:row>
      <xdr:rowOff>1238662</xdr:rowOff>
    </xdr:to>
    <xdr:pic>
      <xdr:nvPicPr>
        <xdr:cNvPr id="2" name="Picture 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782" y="119062"/>
          <a:ext cx="1026000" cy="111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140652</xdr:colOff>
      <xdr:row>0</xdr:row>
      <xdr:rowOff>571500</xdr:rowOff>
    </xdr:from>
    <xdr:to>
      <xdr:col>23</xdr:col>
      <xdr:colOff>400684</xdr:colOff>
      <xdr:row>20</xdr:row>
      <xdr:rowOff>1747</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790" y="76200"/>
          <a:ext cx="762000" cy="888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400050</xdr:colOff>
          <xdr:row>8</xdr:row>
          <xdr:rowOff>76200</xdr:rowOff>
        </xdr:from>
        <xdr:to>
          <xdr:col>6</xdr:col>
          <xdr:colOff>1638300</xdr:colOff>
          <xdr:row>8</xdr:row>
          <xdr:rowOff>304800</xdr:rowOff>
        </xdr:to>
        <xdr:sp macro="" textlink="">
          <xdr:nvSpPr>
            <xdr:cNvPr id="129046" name="Drop Down 22" hidden="1">
              <a:extLst>
                <a:ext uri="{63B3BB69-23CF-44E3-9099-C40C66FF867C}">
                  <a14:compatExt spid="_x0000_s129046"/>
                </a:ext>
                <a:ext uri="{FF2B5EF4-FFF2-40B4-BE49-F238E27FC236}">
                  <a16:creationId xmlns:a16="http://schemas.microsoft.com/office/drawing/2014/main" id="{00000000-0008-0000-0600-000016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xdr:row>
          <xdr:rowOff>76200</xdr:rowOff>
        </xdr:from>
        <xdr:to>
          <xdr:col>6</xdr:col>
          <xdr:colOff>1638300</xdr:colOff>
          <xdr:row>10</xdr:row>
          <xdr:rowOff>304800</xdr:rowOff>
        </xdr:to>
        <xdr:sp macro="" textlink="">
          <xdr:nvSpPr>
            <xdr:cNvPr id="129047" name="Drop Down 23" hidden="1">
              <a:extLst>
                <a:ext uri="{63B3BB69-23CF-44E3-9099-C40C66FF867C}">
                  <a14:compatExt spid="_x0000_s129047"/>
                </a:ext>
                <a:ext uri="{FF2B5EF4-FFF2-40B4-BE49-F238E27FC236}">
                  <a16:creationId xmlns:a16="http://schemas.microsoft.com/office/drawing/2014/main" id="{00000000-0008-0000-0600-000017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11</xdr:row>
          <xdr:rowOff>76200</xdr:rowOff>
        </xdr:from>
        <xdr:to>
          <xdr:col>6</xdr:col>
          <xdr:colOff>1638300</xdr:colOff>
          <xdr:row>11</xdr:row>
          <xdr:rowOff>304800</xdr:rowOff>
        </xdr:to>
        <xdr:sp macro="" textlink="">
          <xdr:nvSpPr>
            <xdr:cNvPr id="129048" name="Drop Down 24" hidden="1">
              <a:extLst>
                <a:ext uri="{63B3BB69-23CF-44E3-9099-C40C66FF867C}">
                  <a14:compatExt spid="_x0000_s129048"/>
                </a:ext>
                <a:ext uri="{FF2B5EF4-FFF2-40B4-BE49-F238E27FC236}">
                  <a16:creationId xmlns:a16="http://schemas.microsoft.com/office/drawing/2014/main" id="{00000000-0008-0000-0600-000018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12</xdr:row>
          <xdr:rowOff>76200</xdr:rowOff>
        </xdr:from>
        <xdr:to>
          <xdr:col>6</xdr:col>
          <xdr:colOff>1638300</xdr:colOff>
          <xdr:row>12</xdr:row>
          <xdr:rowOff>304800</xdr:rowOff>
        </xdr:to>
        <xdr:sp macro="" textlink="">
          <xdr:nvSpPr>
            <xdr:cNvPr id="129049" name="Drop Down 25" hidden="1">
              <a:extLst>
                <a:ext uri="{63B3BB69-23CF-44E3-9099-C40C66FF867C}">
                  <a14:compatExt spid="_x0000_s129049"/>
                </a:ext>
                <a:ext uri="{FF2B5EF4-FFF2-40B4-BE49-F238E27FC236}">
                  <a16:creationId xmlns:a16="http://schemas.microsoft.com/office/drawing/2014/main" id="{00000000-0008-0000-0600-000019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14</xdr:row>
          <xdr:rowOff>76200</xdr:rowOff>
        </xdr:from>
        <xdr:to>
          <xdr:col>6</xdr:col>
          <xdr:colOff>1638300</xdr:colOff>
          <xdr:row>14</xdr:row>
          <xdr:rowOff>304800</xdr:rowOff>
        </xdr:to>
        <xdr:sp macro="" textlink="">
          <xdr:nvSpPr>
            <xdr:cNvPr id="129050" name="Drop Down 26" hidden="1">
              <a:extLst>
                <a:ext uri="{63B3BB69-23CF-44E3-9099-C40C66FF867C}">
                  <a14:compatExt spid="_x0000_s129050"/>
                </a:ext>
                <a:ext uri="{FF2B5EF4-FFF2-40B4-BE49-F238E27FC236}">
                  <a16:creationId xmlns:a16="http://schemas.microsoft.com/office/drawing/2014/main" id="{00000000-0008-0000-0600-00001A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15</xdr:row>
          <xdr:rowOff>76200</xdr:rowOff>
        </xdr:from>
        <xdr:to>
          <xdr:col>6</xdr:col>
          <xdr:colOff>1638300</xdr:colOff>
          <xdr:row>15</xdr:row>
          <xdr:rowOff>304800</xdr:rowOff>
        </xdr:to>
        <xdr:sp macro="" textlink="">
          <xdr:nvSpPr>
            <xdr:cNvPr id="129051" name="Drop Down 27" hidden="1">
              <a:extLst>
                <a:ext uri="{63B3BB69-23CF-44E3-9099-C40C66FF867C}">
                  <a14:compatExt spid="_x0000_s129051"/>
                </a:ext>
                <a:ext uri="{FF2B5EF4-FFF2-40B4-BE49-F238E27FC236}">
                  <a16:creationId xmlns:a16="http://schemas.microsoft.com/office/drawing/2014/main" id="{00000000-0008-0000-0600-00001B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18</xdr:row>
          <xdr:rowOff>76200</xdr:rowOff>
        </xdr:from>
        <xdr:to>
          <xdr:col>6</xdr:col>
          <xdr:colOff>1638300</xdr:colOff>
          <xdr:row>18</xdr:row>
          <xdr:rowOff>304800</xdr:rowOff>
        </xdr:to>
        <xdr:sp macro="" textlink="">
          <xdr:nvSpPr>
            <xdr:cNvPr id="129052" name="Drop Down 28" hidden="1">
              <a:extLst>
                <a:ext uri="{63B3BB69-23CF-44E3-9099-C40C66FF867C}">
                  <a14:compatExt spid="_x0000_s129052"/>
                </a:ext>
                <a:ext uri="{FF2B5EF4-FFF2-40B4-BE49-F238E27FC236}">
                  <a16:creationId xmlns:a16="http://schemas.microsoft.com/office/drawing/2014/main" id="{00000000-0008-0000-0600-00001C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20</xdr:row>
          <xdr:rowOff>76200</xdr:rowOff>
        </xdr:from>
        <xdr:to>
          <xdr:col>6</xdr:col>
          <xdr:colOff>1638300</xdr:colOff>
          <xdr:row>20</xdr:row>
          <xdr:rowOff>304800</xdr:rowOff>
        </xdr:to>
        <xdr:sp macro="" textlink="">
          <xdr:nvSpPr>
            <xdr:cNvPr id="129053" name="Drop Down 29" hidden="1">
              <a:extLst>
                <a:ext uri="{63B3BB69-23CF-44E3-9099-C40C66FF867C}">
                  <a14:compatExt spid="_x0000_s129053"/>
                </a:ext>
                <a:ext uri="{FF2B5EF4-FFF2-40B4-BE49-F238E27FC236}">
                  <a16:creationId xmlns:a16="http://schemas.microsoft.com/office/drawing/2014/main" id="{00000000-0008-0000-0600-00001D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22</xdr:row>
          <xdr:rowOff>76200</xdr:rowOff>
        </xdr:from>
        <xdr:to>
          <xdr:col>6</xdr:col>
          <xdr:colOff>1638300</xdr:colOff>
          <xdr:row>22</xdr:row>
          <xdr:rowOff>304800</xdr:rowOff>
        </xdr:to>
        <xdr:sp macro="" textlink="">
          <xdr:nvSpPr>
            <xdr:cNvPr id="129054" name="Drop Down 30" hidden="1">
              <a:extLst>
                <a:ext uri="{63B3BB69-23CF-44E3-9099-C40C66FF867C}">
                  <a14:compatExt spid="_x0000_s129054"/>
                </a:ext>
                <a:ext uri="{FF2B5EF4-FFF2-40B4-BE49-F238E27FC236}">
                  <a16:creationId xmlns:a16="http://schemas.microsoft.com/office/drawing/2014/main" id="{00000000-0008-0000-0600-00001E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23</xdr:row>
          <xdr:rowOff>76200</xdr:rowOff>
        </xdr:from>
        <xdr:to>
          <xdr:col>6</xdr:col>
          <xdr:colOff>1638300</xdr:colOff>
          <xdr:row>23</xdr:row>
          <xdr:rowOff>304800</xdr:rowOff>
        </xdr:to>
        <xdr:sp macro="" textlink="">
          <xdr:nvSpPr>
            <xdr:cNvPr id="129055" name="Drop Down 31" hidden="1">
              <a:extLst>
                <a:ext uri="{63B3BB69-23CF-44E3-9099-C40C66FF867C}">
                  <a14:compatExt spid="_x0000_s129055"/>
                </a:ext>
                <a:ext uri="{FF2B5EF4-FFF2-40B4-BE49-F238E27FC236}">
                  <a16:creationId xmlns:a16="http://schemas.microsoft.com/office/drawing/2014/main" id="{00000000-0008-0000-0600-00001F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24</xdr:row>
          <xdr:rowOff>76200</xdr:rowOff>
        </xdr:from>
        <xdr:to>
          <xdr:col>6</xdr:col>
          <xdr:colOff>1638300</xdr:colOff>
          <xdr:row>24</xdr:row>
          <xdr:rowOff>304800</xdr:rowOff>
        </xdr:to>
        <xdr:sp macro="" textlink="">
          <xdr:nvSpPr>
            <xdr:cNvPr id="129056" name="Drop Down 32" hidden="1">
              <a:extLst>
                <a:ext uri="{63B3BB69-23CF-44E3-9099-C40C66FF867C}">
                  <a14:compatExt spid="_x0000_s129056"/>
                </a:ext>
                <a:ext uri="{FF2B5EF4-FFF2-40B4-BE49-F238E27FC236}">
                  <a16:creationId xmlns:a16="http://schemas.microsoft.com/office/drawing/2014/main" id="{00000000-0008-0000-0600-000020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25</xdr:row>
          <xdr:rowOff>76200</xdr:rowOff>
        </xdr:from>
        <xdr:to>
          <xdr:col>6</xdr:col>
          <xdr:colOff>1638300</xdr:colOff>
          <xdr:row>25</xdr:row>
          <xdr:rowOff>304800</xdr:rowOff>
        </xdr:to>
        <xdr:sp macro="" textlink="">
          <xdr:nvSpPr>
            <xdr:cNvPr id="129057" name="Drop Down 33" hidden="1">
              <a:extLst>
                <a:ext uri="{63B3BB69-23CF-44E3-9099-C40C66FF867C}">
                  <a14:compatExt spid="_x0000_s129057"/>
                </a:ext>
                <a:ext uri="{FF2B5EF4-FFF2-40B4-BE49-F238E27FC236}">
                  <a16:creationId xmlns:a16="http://schemas.microsoft.com/office/drawing/2014/main" id="{00000000-0008-0000-0600-000021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26</xdr:row>
          <xdr:rowOff>76200</xdr:rowOff>
        </xdr:from>
        <xdr:to>
          <xdr:col>6</xdr:col>
          <xdr:colOff>1638300</xdr:colOff>
          <xdr:row>26</xdr:row>
          <xdr:rowOff>304800</xdr:rowOff>
        </xdr:to>
        <xdr:sp macro="" textlink="">
          <xdr:nvSpPr>
            <xdr:cNvPr id="129058" name="Drop Down 34" hidden="1">
              <a:extLst>
                <a:ext uri="{63B3BB69-23CF-44E3-9099-C40C66FF867C}">
                  <a14:compatExt spid="_x0000_s129058"/>
                </a:ext>
                <a:ext uri="{FF2B5EF4-FFF2-40B4-BE49-F238E27FC236}">
                  <a16:creationId xmlns:a16="http://schemas.microsoft.com/office/drawing/2014/main" id="{00000000-0008-0000-0600-000022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76200</xdr:rowOff>
        </xdr:from>
        <xdr:to>
          <xdr:col>6</xdr:col>
          <xdr:colOff>1638300</xdr:colOff>
          <xdr:row>27</xdr:row>
          <xdr:rowOff>304800</xdr:rowOff>
        </xdr:to>
        <xdr:sp macro="" textlink="">
          <xdr:nvSpPr>
            <xdr:cNvPr id="129059" name="Drop Down 35" hidden="1">
              <a:extLst>
                <a:ext uri="{63B3BB69-23CF-44E3-9099-C40C66FF867C}">
                  <a14:compatExt spid="_x0000_s129059"/>
                </a:ext>
                <a:ext uri="{FF2B5EF4-FFF2-40B4-BE49-F238E27FC236}">
                  <a16:creationId xmlns:a16="http://schemas.microsoft.com/office/drawing/2014/main" id="{00000000-0008-0000-0600-000023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76200</xdr:rowOff>
        </xdr:from>
        <xdr:to>
          <xdr:col>6</xdr:col>
          <xdr:colOff>1638300</xdr:colOff>
          <xdr:row>30</xdr:row>
          <xdr:rowOff>304800</xdr:rowOff>
        </xdr:to>
        <xdr:sp macro="" textlink="">
          <xdr:nvSpPr>
            <xdr:cNvPr id="129060" name="Drop Down 36" hidden="1">
              <a:extLst>
                <a:ext uri="{63B3BB69-23CF-44E3-9099-C40C66FF867C}">
                  <a14:compatExt spid="_x0000_s129060"/>
                </a:ext>
                <a:ext uri="{FF2B5EF4-FFF2-40B4-BE49-F238E27FC236}">
                  <a16:creationId xmlns:a16="http://schemas.microsoft.com/office/drawing/2014/main" id="{00000000-0008-0000-0600-000024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31</xdr:row>
          <xdr:rowOff>76200</xdr:rowOff>
        </xdr:from>
        <xdr:to>
          <xdr:col>6</xdr:col>
          <xdr:colOff>1638300</xdr:colOff>
          <xdr:row>31</xdr:row>
          <xdr:rowOff>304800</xdr:rowOff>
        </xdr:to>
        <xdr:sp macro="" textlink="">
          <xdr:nvSpPr>
            <xdr:cNvPr id="129061" name="Drop Down 37" hidden="1">
              <a:extLst>
                <a:ext uri="{63B3BB69-23CF-44E3-9099-C40C66FF867C}">
                  <a14:compatExt spid="_x0000_s129061"/>
                </a:ext>
                <a:ext uri="{FF2B5EF4-FFF2-40B4-BE49-F238E27FC236}">
                  <a16:creationId xmlns:a16="http://schemas.microsoft.com/office/drawing/2014/main" id="{00000000-0008-0000-0600-000025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33</xdr:row>
          <xdr:rowOff>76200</xdr:rowOff>
        </xdr:from>
        <xdr:to>
          <xdr:col>6</xdr:col>
          <xdr:colOff>1638300</xdr:colOff>
          <xdr:row>33</xdr:row>
          <xdr:rowOff>304800</xdr:rowOff>
        </xdr:to>
        <xdr:sp macro="" textlink="">
          <xdr:nvSpPr>
            <xdr:cNvPr id="129062" name="Drop Down 38" hidden="1">
              <a:extLst>
                <a:ext uri="{63B3BB69-23CF-44E3-9099-C40C66FF867C}">
                  <a14:compatExt spid="_x0000_s129062"/>
                </a:ext>
                <a:ext uri="{FF2B5EF4-FFF2-40B4-BE49-F238E27FC236}">
                  <a16:creationId xmlns:a16="http://schemas.microsoft.com/office/drawing/2014/main" id="{00000000-0008-0000-0600-000026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34</xdr:row>
          <xdr:rowOff>76200</xdr:rowOff>
        </xdr:from>
        <xdr:to>
          <xdr:col>6</xdr:col>
          <xdr:colOff>1638300</xdr:colOff>
          <xdr:row>34</xdr:row>
          <xdr:rowOff>304800</xdr:rowOff>
        </xdr:to>
        <xdr:sp macro="" textlink="">
          <xdr:nvSpPr>
            <xdr:cNvPr id="129063" name="Drop Down 39" hidden="1">
              <a:extLst>
                <a:ext uri="{63B3BB69-23CF-44E3-9099-C40C66FF867C}">
                  <a14:compatExt spid="_x0000_s129063"/>
                </a:ext>
                <a:ext uri="{FF2B5EF4-FFF2-40B4-BE49-F238E27FC236}">
                  <a16:creationId xmlns:a16="http://schemas.microsoft.com/office/drawing/2014/main" id="{00000000-0008-0000-0600-000027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35</xdr:row>
          <xdr:rowOff>76200</xdr:rowOff>
        </xdr:from>
        <xdr:to>
          <xdr:col>6</xdr:col>
          <xdr:colOff>1638300</xdr:colOff>
          <xdr:row>35</xdr:row>
          <xdr:rowOff>304800</xdr:rowOff>
        </xdr:to>
        <xdr:sp macro="" textlink="">
          <xdr:nvSpPr>
            <xdr:cNvPr id="129064" name="Drop Down 40" hidden="1">
              <a:extLst>
                <a:ext uri="{63B3BB69-23CF-44E3-9099-C40C66FF867C}">
                  <a14:compatExt spid="_x0000_s129064"/>
                </a:ext>
                <a:ext uri="{FF2B5EF4-FFF2-40B4-BE49-F238E27FC236}">
                  <a16:creationId xmlns:a16="http://schemas.microsoft.com/office/drawing/2014/main" id="{00000000-0008-0000-0600-000028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36</xdr:row>
          <xdr:rowOff>76200</xdr:rowOff>
        </xdr:from>
        <xdr:to>
          <xdr:col>6</xdr:col>
          <xdr:colOff>1638300</xdr:colOff>
          <xdr:row>36</xdr:row>
          <xdr:rowOff>304800</xdr:rowOff>
        </xdr:to>
        <xdr:sp macro="" textlink="">
          <xdr:nvSpPr>
            <xdr:cNvPr id="129065" name="Drop Down 41" hidden="1">
              <a:extLst>
                <a:ext uri="{63B3BB69-23CF-44E3-9099-C40C66FF867C}">
                  <a14:compatExt spid="_x0000_s129065"/>
                </a:ext>
                <a:ext uri="{FF2B5EF4-FFF2-40B4-BE49-F238E27FC236}">
                  <a16:creationId xmlns:a16="http://schemas.microsoft.com/office/drawing/2014/main" id="{00000000-0008-0000-0600-000029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38</xdr:row>
          <xdr:rowOff>76200</xdr:rowOff>
        </xdr:from>
        <xdr:to>
          <xdr:col>6</xdr:col>
          <xdr:colOff>1638300</xdr:colOff>
          <xdr:row>38</xdr:row>
          <xdr:rowOff>304800</xdr:rowOff>
        </xdr:to>
        <xdr:sp macro="" textlink="">
          <xdr:nvSpPr>
            <xdr:cNvPr id="129066" name="Drop Down 42" hidden="1">
              <a:extLst>
                <a:ext uri="{63B3BB69-23CF-44E3-9099-C40C66FF867C}">
                  <a14:compatExt spid="_x0000_s129066"/>
                </a:ext>
                <a:ext uri="{FF2B5EF4-FFF2-40B4-BE49-F238E27FC236}">
                  <a16:creationId xmlns:a16="http://schemas.microsoft.com/office/drawing/2014/main" id="{00000000-0008-0000-0600-00002A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39</xdr:row>
          <xdr:rowOff>76200</xdr:rowOff>
        </xdr:from>
        <xdr:to>
          <xdr:col>6</xdr:col>
          <xdr:colOff>1638300</xdr:colOff>
          <xdr:row>39</xdr:row>
          <xdr:rowOff>304800</xdr:rowOff>
        </xdr:to>
        <xdr:sp macro="" textlink="">
          <xdr:nvSpPr>
            <xdr:cNvPr id="129067" name="Drop Down 43" hidden="1">
              <a:extLst>
                <a:ext uri="{63B3BB69-23CF-44E3-9099-C40C66FF867C}">
                  <a14:compatExt spid="_x0000_s129067"/>
                </a:ext>
                <a:ext uri="{FF2B5EF4-FFF2-40B4-BE49-F238E27FC236}">
                  <a16:creationId xmlns:a16="http://schemas.microsoft.com/office/drawing/2014/main" id="{00000000-0008-0000-0600-00002B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40</xdr:row>
          <xdr:rowOff>76200</xdr:rowOff>
        </xdr:from>
        <xdr:to>
          <xdr:col>6</xdr:col>
          <xdr:colOff>1638300</xdr:colOff>
          <xdr:row>40</xdr:row>
          <xdr:rowOff>304800</xdr:rowOff>
        </xdr:to>
        <xdr:sp macro="" textlink="">
          <xdr:nvSpPr>
            <xdr:cNvPr id="129068" name="Drop Down 44" hidden="1">
              <a:extLst>
                <a:ext uri="{63B3BB69-23CF-44E3-9099-C40C66FF867C}">
                  <a14:compatExt spid="_x0000_s129068"/>
                </a:ext>
                <a:ext uri="{FF2B5EF4-FFF2-40B4-BE49-F238E27FC236}">
                  <a16:creationId xmlns:a16="http://schemas.microsoft.com/office/drawing/2014/main" id="{00000000-0008-0000-0600-00002C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41</xdr:row>
          <xdr:rowOff>76200</xdr:rowOff>
        </xdr:from>
        <xdr:to>
          <xdr:col>6</xdr:col>
          <xdr:colOff>1638300</xdr:colOff>
          <xdr:row>41</xdr:row>
          <xdr:rowOff>304800</xdr:rowOff>
        </xdr:to>
        <xdr:sp macro="" textlink="">
          <xdr:nvSpPr>
            <xdr:cNvPr id="129069" name="Drop Down 45" hidden="1">
              <a:extLst>
                <a:ext uri="{63B3BB69-23CF-44E3-9099-C40C66FF867C}">
                  <a14:compatExt spid="_x0000_s129069"/>
                </a:ext>
                <a:ext uri="{FF2B5EF4-FFF2-40B4-BE49-F238E27FC236}">
                  <a16:creationId xmlns:a16="http://schemas.microsoft.com/office/drawing/2014/main" id="{00000000-0008-0000-0600-00002D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42</xdr:row>
          <xdr:rowOff>76200</xdr:rowOff>
        </xdr:from>
        <xdr:to>
          <xdr:col>6</xdr:col>
          <xdr:colOff>1638300</xdr:colOff>
          <xdr:row>42</xdr:row>
          <xdr:rowOff>304800</xdr:rowOff>
        </xdr:to>
        <xdr:sp macro="" textlink="">
          <xdr:nvSpPr>
            <xdr:cNvPr id="129070" name="Drop Down 46" hidden="1">
              <a:extLst>
                <a:ext uri="{63B3BB69-23CF-44E3-9099-C40C66FF867C}">
                  <a14:compatExt spid="_x0000_s129070"/>
                </a:ext>
                <a:ext uri="{FF2B5EF4-FFF2-40B4-BE49-F238E27FC236}">
                  <a16:creationId xmlns:a16="http://schemas.microsoft.com/office/drawing/2014/main" id="{00000000-0008-0000-0600-00002E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43</xdr:row>
          <xdr:rowOff>76200</xdr:rowOff>
        </xdr:from>
        <xdr:to>
          <xdr:col>6</xdr:col>
          <xdr:colOff>1638300</xdr:colOff>
          <xdr:row>43</xdr:row>
          <xdr:rowOff>304800</xdr:rowOff>
        </xdr:to>
        <xdr:sp macro="" textlink="">
          <xdr:nvSpPr>
            <xdr:cNvPr id="129071" name="Drop Down 47" hidden="1">
              <a:extLst>
                <a:ext uri="{63B3BB69-23CF-44E3-9099-C40C66FF867C}">
                  <a14:compatExt spid="_x0000_s129071"/>
                </a:ext>
                <a:ext uri="{FF2B5EF4-FFF2-40B4-BE49-F238E27FC236}">
                  <a16:creationId xmlns:a16="http://schemas.microsoft.com/office/drawing/2014/main" id="{00000000-0008-0000-0600-00002F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45</xdr:row>
          <xdr:rowOff>76200</xdr:rowOff>
        </xdr:from>
        <xdr:to>
          <xdr:col>6</xdr:col>
          <xdr:colOff>1638300</xdr:colOff>
          <xdr:row>45</xdr:row>
          <xdr:rowOff>304800</xdr:rowOff>
        </xdr:to>
        <xdr:sp macro="" textlink="">
          <xdr:nvSpPr>
            <xdr:cNvPr id="129072" name="Drop Down 48" hidden="1">
              <a:extLst>
                <a:ext uri="{63B3BB69-23CF-44E3-9099-C40C66FF867C}">
                  <a14:compatExt spid="_x0000_s129072"/>
                </a:ext>
                <a:ext uri="{FF2B5EF4-FFF2-40B4-BE49-F238E27FC236}">
                  <a16:creationId xmlns:a16="http://schemas.microsoft.com/office/drawing/2014/main" id="{00000000-0008-0000-0600-000030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48</xdr:row>
          <xdr:rowOff>76200</xdr:rowOff>
        </xdr:from>
        <xdr:to>
          <xdr:col>6</xdr:col>
          <xdr:colOff>1638300</xdr:colOff>
          <xdr:row>48</xdr:row>
          <xdr:rowOff>304800</xdr:rowOff>
        </xdr:to>
        <xdr:sp macro="" textlink="">
          <xdr:nvSpPr>
            <xdr:cNvPr id="129073" name="Drop Down 49" hidden="1">
              <a:extLst>
                <a:ext uri="{63B3BB69-23CF-44E3-9099-C40C66FF867C}">
                  <a14:compatExt spid="_x0000_s129073"/>
                </a:ext>
                <a:ext uri="{FF2B5EF4-FFF2-40B4-BE49-F238E27FC236}">
                  <a16:creationId xmlns:a16="http://schemas.microsoft.com/office/drawing/2014/main" id="{00000000-0008-0000-0600-000031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50</xdr:row>
          <xdr:rowOff>76200</xdr:rowOff>
        </xdr:from>
        <xdr:to>
          <xdr:col>6</xdr:col>
          <xdr:colOff>1638300</xdr:colOff>
          <xdr:row>50</xdr:row>
          <xdr:rowOff>304800</xdr:rowOff>
        </xdr:to>
        <xdr:sp macro="" textlink="">
          <xdr:nvSpPr>
            <xdr:cNvPr id="129074" name="Drop Down 50" hidden="1">
              <a:extLst>
                <a:ext uri="{63B3BB69-23CF-44E3-9099-C40C66FF867C}">
                  <a14:compatExt spid="_x0000_s129074"/>
                </a:ext>
                <a:ext uri="{FF2B5EF4-FFF2-40B4-BE49-F238E27FC236}">
                  <a16:creationId xmlns:a16="http://schemas.microsoft.com/office/drawing/2014/main" id="{00000000-0008-0000-0600-000032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52</xdr:row>
          <xdr:rowOff>76200</xdr:rowOff>
        </xdr:from>
        <xdr:to>
          <xdr:col>6</xdr:col>
          <xdr:colOff>1638300</xdr:colOff>
          <xdr:row>52</xdr:row>
          <xdr:rowOff>304800</xdr:rowOff>
        </xdr:to>
        <xdr:sp macro="" textlink="">
          <xdr:nvSpPr>
            <xdr:cNvPr id="129075" name="Drop Down 51" hidden="1">
              <a:extLst>
                <a:ext uri="{63B3BB69-23CF-44E3-9099-C40C66FF867C}">
                  <a14:compatExt spid="_x0000_s129075"/>
                </a:ext>
                <a:ext uri="{FF2B5EF4-FFF2-40B4-BE49-F238E27FC236}">
                  <a16:creationId xmlns:a16="http://schemas.microsoft.com/office/drawing/2014/main" id="{00000000-0008-0000-0600-000033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54</xdr:row>
          <xdr:rowOff>76200</xdr:rowOff>
        </xdr:from>
        <xdr:to>
          <xdr:col>6</xdr:col>
          <xdr:colOff>1638300</xdr:colOff>
          <xdr:row>54</xdr:row>
          <xdr:rowOff>304800</xdr:rowOff>
        </xdr:to>
        <xdr:sp macro="" textlink="">
          <xdr:nvSpPr>
            <xdr:cNvPr id="129076" name="Drop Down 52" hidden="1">
              <a:extLst>
                <a:ext uri="{63B3BB69-23CF-44E3-9099-C40C66FF867C}">
                  <a14:compatExt spid="_x0000_s129076"/>
                </a:ext>
                <a:ext uri="{FF2B5EF4-FFF2-40B4-BE49-F238E27FC236}">
                  <a16:creationId xmlns:a16="http://schemas.microsoft.com/office/drawing/2014/main" id="{00000000-0008-0000-0600-000034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56</xdr:row>
          <xdr:rowOff>76200</xdr:rowOff>
        </xdr:from>
        <xdr:to>
          <xdr:col>6</xdr:col>
          <xdr:colOff>1638300</xdr:colOff>
          <xdr:row>56</xdr:row>
          <xdr:rowOff>304800</xdr:rowOff>
        </xdr:to>
        <xdr:sp macro="" textlink="">
          <xdr:nvSpPr>
            <xdr:cNvPr id="129077" name="Drop Down 53" hidden="1">
              <a:extLst>
                <a:ext uri="{63B3BB69-23CF-44E3-9099-C40C66FF867C}">
                  <a14:compatExt spid="_x0000_s129077"/>
                </a:ext>
                <a:ext uri="{FF2B5EF4-FFF2-40B4-BE49-F238E27FC236}">
                  <a16:creationId xmlns:a16="http://schemas.microsoft.com/office/drawing/2014/main" id="{00000000-0008-0000-0600-000035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58</xdr:row>
          <xdr:rowOff>76200</xdr:rowOff>
        </xdr:from>
        <xdr:to>
          <xdr:col>6</xdr:col>
          <xdr:colOff>1638300</xdr:colOff>
          <xdr:row>58</xdr:row>
          <xdr:rowOff>304800</xdr:rowOff>
        </xdr:to>
        <xdr:sp macro="" textlink="">
          <xdr:nvSpPr>
            <xdr:cNvPr id="129078" name="Drop Down 54" hidden="1">
              <a:extLst>
                <a:ext uri="{63B3BB69-23CF-44E3-9099-C40C66FF867C}">
                  <a14:compatExt spid="_x0000_s129078"/>
                </a:ext>
                <a:ext uri="{FF2B5EF4-FFF2-40B4-BE49-F238E27FC236}">
                  <a16:creationId xmlns:a16="http://schemas.microsoft.com/office/drawing/2014/main" id="{00000000-0008-0000-0600-000036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61</xdr:row>
          <xdr:rowOff>76200</xdr:rowOff>
        </xdr:from>
        <xdr:to>
          <xdr:col>6</xdr:col>
          <xdr:colOff>1638300</xdr:colOff>
          <xdr:row>61</xdr:row>
          <xdr:rowOff>304800</xdr:rowOff>
        </xdr:to>
        <xdr:sp macro="" textlink="">
          <xdr:nvSpPr>
            <xdr:cNvPr id="129079" name="Drop Down 55" hidden="1">
              <a:extLst>
                <a:ext uri="{63B3BB69-23CF-44E3-9099-C40C66FF867C}">
                  <a14:compatExt spid="_x0000_s129079"/>
                </a:ext>
                <a:ext uri="{FF2B5EF4-FFF2-40B4-BE49-F238E27FC236}">
                  <a16:creationId xmlns:a16="http://schemas.microsoft.com/office/drawing/2014/main" id="{00000000-0008-0000-0600-000037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62</xdr:row>
          <xdr:rowOff>76200</xdr:rowOff>
        </xdr:from>
        <xdr:to>
          <xdr:col>6</xdr:col>
          <xdr:colOff>1638300</xdr:colOff>
          <xdr:row>62</xdr:row>
          <xdr:rowOff>304800</xdr:rowOff>
        </xdr:to>
        <xdr:sp macro="" textlink="">
          <xdr:nvSpPr>
            <xdr:cNvPr id="129080" name="Drop Down 56" hidden="1">
              <a:extLst>
                <a:ext uri="{63B3BB69-23CF-44E3-9099-C40C66FF867C}">
                  <a14:compatExt spid="_x0000_s129080"/>
                </a:ext>
                <a:ext uri="{FF2B5EF4-FFF2-40B4-BE49-F238E27FC236}">
                  <a16:creationId xmlns:a16="http://schemas.microsoft.com/office/drawing/2014/main" id="{00000000-0008-0000-0600-000038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63</xdr:row>
          <xdr:rowOff>76200</xdr:rowOff>
        </xdr:from>
        <xdr:to>
          <xdr:col>6</xdr:col>
          <xdr:colOff>1638300</xdr:colOff>
          <xdr:row>63</xdr:row>
          <xdr:rowOff>304800</xdr:rowOff>
        </xdr:to>
        <xdr:sp macro="" textlink="">
          <xdr:nvSpPr>
            <xdr:cNvPr id="129081" name="Drop Down 57" hidden="1">
              <a:extLst>
                <a:ext uri="{63B3BB69-23CF-44E3-9099-C40C66FF867C}">
                  <a14:compatExt spid="_x0000_s129081"/>
                </a:ext>
                <a:ext uri="{FF2B5EF4-FFF2-40B4-BE49-F238E27FC236}">
                  <a16:creationId xmlns:a16="http://schemas.microsoft.com/office/drawing/2014/main" id="{00000000-0008-0000-0600-000039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64</xdr:row>
          <xdr:rowOff>76200</xdr:rowOff>
        </xdr:from>
        <xdr:to>
          <xdr:col>6</xdr:col>
          <xdr:colOff>1638300</xdr:colOff>
          <xdr:row>64</xdr:row>
          <xdr:rowOff>304800</xdr:rowOff>
        </xdr:to>
        <xdr:sp macro="" textlink="">
          <xdr:nvSpPr>
            <xdr:cNvPr id="129082" name="Drop Down 58" hidden="1">
              <a:extLst>
                <a:ext uri="{63B3BB69-23CF-44E3-9099-C40C66FF867C}">
                  <a14:compatExt spid="_x0000_s129082"/>
                </a:ext>
                <a:ext uri="{FF2B5EF4-FFF2-40B4-BE49-F238E27FC236}">
                  <a16:creationId xmlns:a16="http://schemas.microsoft.com/office/drawing/2014/main" id="{00000000-0008-0000-0600-00003A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66</xdr:row>
          <xdr:rowOff>76200</xdr:rowOff>
        </xdr:from>
        <xdr:to>
          <xdr:col>6</xdr:col>
          <xdr:colOff>1638300</xdr:colOff>
          <xdr:row>66</xdr:row>
          <xdr:rowOff>304800</xdr:rowOff>
        </xdr:to>
        <xdr:sp macro="" textlink="">
          <xdr:nvSpPr>
            <xdr:cNvPr id="129083" name="Drop Down 59" hidden="1">
              <a:extLst>
                <a:ext uri="{63B3BB69-23CF-44E3-9099-C40C66FF867C}">
                  <a14:compatExt spid="_x0000_s129083"/>
                </a:ext>
                <a:ext uri="{FF2B5EF4-FFF2-40B4-BE49-F238E27FC236}">
                  <a16:creationId xmlns:a16="http://schemas.microsoft.com/office/drawing/2014/main" id="{00000000-0008-0000-0600-00003B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68</xdr:row>
          <xdr:rowOff>76200</xdr:rowOff>
        </xdr:from>
        <xdr:to>
          <xdr:col>6</xdr:col>
          <xdr:colOff>1638300</xdr:colOff>
          <xdr:row>68</xdr:row>
          <xdr:rowOff>304800</xdr:rowOff>
        </xdr:to>
        <xdr:sp macro="" textlink="">
          <xdr:nvSpPr>
            <xdr:cNvPr id="129084" name="Drop Down 60" hidden="1">
              <a:extLst>
                <a:ext uri="{63B3BB69-23CF-44E3-9099-C40C66FF867C}">
                  <a14:compatExt spid="_x0000_s129084"/>
                </a:ext>
                <a:ext uri="{FF2B5EF4-FFF2-40B4-BE49-F238E27FC236}">
                  <a16:creationId xmlns:a16="http://schemas.microsoft.com/office/drawing/2014/main" id="{00000000-0008-0000-0600-00003C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70</xdr:row>
          <xdr:rowOff>76200</xdr:rowOff>
        </xdr:from>
        <xdr:to>
          <xdr:col>6</xdr:col>
          <xdr:colOff>1638300</xdr:colOff>
          <xdr:row>70</xdr:row>
          <xdr:rowOff>304800</xdr:rowOff>
        </xdr:to>
        <xdr:sp macro="" textlink="">
          <xdr:nvSpPr>
            <xdr:cNvPr id="129085" name="Drop Down 61" hidden="1">
              <a:extLst>
                <a:ext uri="{63B3BB69-23CF-44E3-9099-C40C66FF867C}">
                  <a14:compatExt spid="_x0000_s129085"/>
                </a:ext>
                <a:ext uri="{FF2B5EF4-FFF2-40B4-BE49-F238E27FC236}">
                  <a16:creationId xmlns:a16="http://schemas.microsoft.com/office/drawing/2014/main" id="{00000000-0008-0000-0600-00003D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72</xdr:row>
          <xdr:rowOff>76200</xdr:rowOff>
        </xdr:from>
        <xdr:to>
          <xdr:col>6</xdr:col>
          <xdr:colOff>1638300</xdr:colOff>
          <xdr:row>72</xdr:row>
          <xdr:rowOff>304800</xdr:rowOff>
        </xdr:to>
        <xdr:sp macro="" textlink="">
          <xdr:nvSpPr>
            <xdr:cNvPr id="129086" name="Drop Down 62" hidden="1">
              <a:extLst>
                <a:ext uri="{63B3BB69-23CF-44E3-9099-C40C66FF867C}">
                  <a14:compatExt spid="_x0000_s129086"/>
                </a:ext>
                <a:ext uri="{FF2B5EF4-FFF2-40B4-BE49-F238E27FC236}">
                  <a16:creationId xmlns:a16="http://schemas.microsoft.com/office/drawing/2014/main" id="{00000000-0008-0000-0600-00003E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73</xdr:row>
          <xdr:rowOff>76200</xdr:rowOff>
        </xdr:from>
        <xdr:to>
          <xdr:col>6</xdr:col>
          <xdr:colOff>1638300</xdr:colOff>
          <xdr:row>73</xdr:row>
          <xdr:rowOff>304800</xdr:rowOff>
        </xdr:to>
        <xdr:sp macro="" textlink="">
          <xdr:nvSpPr>
            <xdr:cNvPr id="129087" name="Drop Down 63" hidden="1">
              <a:extLst>
                <a:ext uri="{63B3BB69-23CF-44E3-9099-C40C66FF867C}">
                  <a14:compatExt spid="_x0000_s129087"/>
                </a:ext>
                <a:ext uri="{FF2B5EF4-FFF2-40B4-BE49-F238E27FC236}">
                  <a16:creationId xmlns:a16="http://schemas.microsoft.com/office/drawing/2014/main" id="{00000000-0008-0000-0600-00003F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74</xdr:row>
          <xdr:rowOff>76200</xdr:rowOff>
        </xdr:from>
        <xdr:to>
          <xdr:col>6</xdr:col>
          <xdr:colOff>1638300</xdr:colOff>
          <xdr:row>74</xdr:row>
          <xdr:rowOff>304800</xdr:rowOff>
        </xdr:to>
        <xdr:sp macro="" textlink="">
          <xdr:nvSpPr>
            <xdr:cNvPr id="129088" name="Drop Down 64" hidden="1">
              <a:extLst>
                <a:ext uri="{63B3BB69-23CF-44E3-9099-C40C66FF867C}">
                  <a14:compatExt spid="_x0000_s129088"/>
                </a:ext>
                <a:ext uri="{FF2B5EF4-FFF2-40B4-BE49-F238E27FC236}">
                  <a16:creationId xmlns:a16="http://schemas.microsoft.com/office/drawing/2014/main" id="{00000000-0008-0000-0600-000040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75</xdr:row>
          <xdr:rowOff>76200</xdr:rowOff>
        </xdr:from>
        <xdr:to>
          <xdr:col>6</xdr:col>
          <xdr:colOff>1638300</xdr:colOff>
          <xdr:row>75</xdr:row>
          <xdr:rowOff>304800</xdr:rowOff>
        </xdr:to>
        <xdr:sp macro="" textlink="">
          <xdr:nvSpPr>
            <xdr:cNvPr id="129089" name="Drop Down 65" hidden="1">
              <a:extLst>
                <a:ext uri="{63B3BB69-23CF-44E3-9099-C40C66FF867C}">
                  <a14:compatExt spid="_x0000_s129089"/>
                </a:ext>
                <a:ext uri="{FF2B5EF4-FFF2-40B4-BE49-F238E27FC236}">
                  <a16:creationId xmlns:a16="http://schemas.microsoft.com/office/drawing/2014/main" id="{00000000-0008-0000-0600-000041F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070" y="76200"/>
          <a:ext cx="762000" cy="888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400050</xdr:colOff>
          <xdr:row>8</xdr:row>
          <xdr:rowOff>76200</xdr:rowOff>
        </xdr:from>
        <xdr:to>
          <xdr:col>6</xdr:col>
          <xdr:colOff>1638300</xdr:colOff>
          <xdr:row>8</xdr:row>
          <xdr:rowOff>304800</xdr:rowOff>
        </xdr:to>
        <xdr:sp macro="" textlink="">
          <xdr:nvSpPr>
            <xdr:cNvPr id="167938" name="Drop Down 2" hidden="1">
              <a:extLst>
                <a:ext uri="{63B3BB69-23CF-44E3-9099-C40C66FF867C}">
                  <a14:compatExt spid="_x0000_s167938"/>
                </a:ext>
                <a:ext uri="{FF2B5EF4-FFF2-40B4-BE49-F238E27FC236}">
                  <a16:creationId xmlns:a16="http://schemas.microsoft.com/office/drawing/2014/main" id="{00000000-0008-0000-0700-000002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xdr:row>
          <xdr:rowOff>76200</xdr:rowOff>
        </xdr:from>
        <xdr:to>
          <xdr:col>6</xdr:col>
          <xdr:colOff>1638300</xdr:colOff>
          <xdr:row>9</xdr:row>
          <xdr:rowOff>304800</xdr:rowOff>
        </xdr:to>
        <xdr:sp macro="" textlink="">
          <xdr:nvSpPr>
            <xdr:cNvPr id="167984" name="Drop Down 48" hidden="1">
              <a:extLst>
                <a:ext uri="{63B3BB69-23CF-44E3-9099-C40C66FF867C}">
                  <a14:compatExt spid="_x0000_s167984"/>
                </a:ext>
                <a:ext uri="{FF2B5EF4-FFF2-40B4-BE49-F238E27FC236}">
                  <a16:creationId xmlns:a16="http://schemas.microsoft.com/office/drawing/2014/main" id="{00000000-0008-0000-0700-000030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xdr:row>
          <xdr:rowOff>76200</xdr:rowOff>
        </xdr:from>
        <xdr:to>
          <xdr:col>6</xdr:col>
          <xdr:colOff>1638300</xdr:colOff>
          <xdr:row>10</xdr:row>
          <xdr:rowOff>304800</xdr:rowOff>
        </xdr:to>
        <xdr:sp macro="" textlink="">
          <xdr:nvSpPr>
            <xdr:cNvPr id="167985" name="Drop Down 49" hidden="1">
              <a:extLst>
                <a:ext uri="{63B3BB69-23CF-44E3-9099-C40C66FF867C}">
                  <a14:compatExt spid="_x0000_s167985"/>
                </a:ext>
                <a:ext uri="{FF2B5EF4-FFF2-40B4-BE49-F238E27FC236}">
                  <a16:creationId xmlns:a16="http://schemas.microsoft.com/office/drawing/2014/main" id="{00000000-0008-0000-0700-000031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11</xdr:row>
          <xdr:rowOff>76200</xdr:rowOff>
        </xdr:from>
        <xdr:to>
          <xdr:col>6</xdr:col>
          <xdr:colOff>1638300</xdr:colOff>
          <xdr:row>11</xdr:row>
          <xdr:rowOff>304800</xdr:rowOff>
        </xdr:to>
        <xdr:sp macro="" textlink="">
          <xdr:nvSpPr>
            <xdr:cNvPr id="167986" name="Drop Down 50" hidden="1">
              <a:extLst>
                <a:ext uri="{63B3BB69-23CF-44E3-9099-C40C66FF867C}">
                  <a14:compatExt spid="_x0000_s167986"/>
                </a:ext>
                <a:ext uri="{FF2B5EF4-FFF2-40B4-BE49-F238E27FC236}">
                  <a16:creationId xmlns:a16="http://schemas.microsoft.com/office/drawing/2014/main" id="{00000000-0008-0000-0700-000032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12</xdr:row>
          <xdr:rowOff>76200</xdr:rowOff>
        </xdr:from>
        <xdr:to>
          <xdr:col>6</xdr:col>
          <xdr:colOff>1638300</xdr:colOff>
          <xdr:row>12</xdr:row>
          <xdr:rowOff>304800</xdr:rowOff>
        </xdr:to>
        <xdr:sp macro="" textlink="">
          <xdr:nvSpPr>
            <xdr:cNvPr id="167987" name="Drop Down 51" hidden="1">
              <a:extLst>
                <a:ext uri="{63B3BB69-23CF-44E3-9099-C40C66FF867C}">
                  <a14:compatExt spid="_x0000_s167987"/>
                </a:ext>
                <a:ext uri="{FF2B5EF4-FFF2-40B4-BE49-F238E27FC236}">
                  <a16:creationId xmlns:a16="http://schemas.microsoft.com/office/drawing/2014/main" id="{00000000-0008-0000-0700-000033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13</xdr:row>
          <xdr:rowOff>76200</xdr:rowOff>
        </xdr:from>
        <xdr:to>
          <xdr:col>6</xdr:col>
          <xdr:colOff>1638300</xdr:colOff>
          <xdr:row>13</xdr:row>
          <xdr:rowOff>304800</xdr:rowOff>
        </xdr:to>
        <xdr:sp macro="" textlink="">
          <xdr:nvSpPr>
            <xdr:cNvPr id="167988" name="Drop Down 52" hidden="1">
              <a:extLst>
                <a:ext uri="{63B3BB69-23CF-44E3-9099-C40C66FF867C}">
                  <a14:compatExt spid="_x0000_s167988"/>
                </a:ext>
                <a:ext uri="{FF2B5EF4-FFF2-40B4-BE49-F238E27FC236}">
                  <a16:creationId xmlns:a16="http://schemas.microsoft.com/office/drawing/2014/main" id="{00000000-0008-0000-0700-000034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15</xdr:row>
          <xdr:rowOff>76200</xdr:rowOff>
        </xdr:from>
        <xdr:to>
          <xdr:col>6</xdr:col>
          <xdr:colOff>1638300</xdr:colOff>
          <xdr:row>15</xdr:row>
          <xdr:rowOff>304800</xdr:rowOff>
        </xdr:to>
        <xdr:sp macro="" textlink="">
          <xdr:nvSpPr>
            <xdr:cNvPr id="167989" name="Drop Down 53" hidden="1">
              <a:extLst>
                <a:ext uri="{63B3BB69-23CF-44E3-9099-C40C66FF867C}">
                  <a14:compatExt spid="_x0000_s167989"/>
                </a:ext>
                <a:ext uri="{FF2B5EF4-FFF2-40B4-BE49-F238E27FC236}">
                  <a16:creationId xmlns:a16="http://schemas.microsoft.com/office/drawing/2014/main" id="{00000000-0008-0000-0700-000035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16</xdr:row>
          <xdr:rowOff>76200</xdr:rowOff>
        </xdr:from>
        <xdr:to>
          <xdr:col>6</xdr:col>
          <xdr:colOff>1638300</xdr:colOff>
          <xdr:row>16</xdr:row>
          <xdr:rowOff>304800</xdr:rowOff>
        </xdr:to>
        <xdr:sp macro="" textlink="">
          <xdr:nvSpPr>
            <xdr:cNvPr id="167990" name="Drop Down 54" hidden="1">
              <a:extLst>
                <a:ext uri="{63B3BB69-23CF-44E3-9099-C40C66FF867C}">
                  <a14:compatExt spid="_x0000_s167990"/>
                </a:ext>
                <a:ext uri="{FF2B5EF4-FFF2-40B4-BE49-F238E27FC236}">
                  <a16:creationId xmlns:a16="http://schemas.microsoft.com/office/drawing/2014/main" id="{00000000-0008-0000-0700-000036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18</xdr:row>
          <xdr:rowOff>76200</xdr:rowOff>
        </xdr:from>
        <xdr:to>
          <xdr:col>6</xdr:col>
          <xdr:colOff>1638300</xdr:colOff>
          <xdr:row>18</xdr:row>
          <xdr:rowOff>304800</xdr:rowOff>
        </xdr:to>
        <xdr:sp macro="" textlink="">
          <xdr:nvSpPr>
            <xdr:cNvPr id="167991" name="Drop Down 55" hidden="1">
              <a:extLst>
                <a:ext uri="{63B3BB69-23CF-44E3-9099-C40C66FF867C}">
                  <a14:compatExt spid="_x0000_s167991"/>
                </a:ext>
                <a:ext uri="{FF2B5EF4-FFF2-40B4-BE49-F238E27FC236}">
                  <a16:creationId xmlns:a16="http://schemas.microsoft.com/office/drawing/2014/main" id="{00000000-0008-0000-0700-000037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20</xdr:row>
          <xdr:rowOff>76200</xdr:rowOff>
        </xdr:from>
        <xdr:to>
          <xdr:col>6</xdr:col>
          <xdr:colOff>1638300</xdr:colOff>
          <xdr:row>20</xdr:row>
          <xdr:rowOff>304800</xdr:rowOff>
        </xdr:to>
        <xdr:sp macro="" textlink="">
          <xdr:nvSpPr>
            <xdr:cNvPr id="167992" name="Drop Down 56" hidden="1">
              <a:extLst>
                <a:ext uri="{63B3BB69-23CF-44E3-9099-C40C66FF867C}">
                  <a14:compatExt spid="_x0000_s167992"/>
                </a:ext>
                <a:ext uri="{FF2B5EF4-FFF2-40B4-BE49-F238E27FC236}">
                  <a16:creationId xmlns:a16="http://schemas.microsoft.com/office/drawing/2014/main" id="{00000000-0008-0000-0700-000038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22</xdr:row>
          <xdr:rowOff>76200</xdr:rowOff>
        </xdr:from>
        <xdr:to>
          <xdr:col>6</xdr:col>
          <xdr:colOff>1638300</xdr:colOff>
          <xdr:row>22</xdr:row>
          <xdr:rowOff>304800</xdr:rowOff>
        </xdr:to>
        <xdr:sp macro="" textlink="">
          <xdr:nvSpPr>
            <xdr:cNvPr id="167993" name="Drop Down 57" hidden="1">
              <a:extLst>
                <a:ext uri="{63B3BB69-23CF-44E3-9099-C40C66FF867C}">
                  <a14:compatExt spid="_x0000_s167993"/>
                </a:ext>
                <a:ext uri="{FF2B5EF4-FFF2-40B4-BE49-F238E27FC236}">
                  <a16:creationId xmlns:a16="http://schemas.microsoft.com/office/drawing/2014/main" id="{00000000-0008-0000-0700-000039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24</xdr:row>
          <xdr:rowOff>76200</xdr:rowOff>
        </xdr:from>
        <xdr:to>
          <xdr:col>6</xdr:col>
          <xdr:colOff>1638300</xdr:colOff>
          <xdr:row>24</xdr:row>
          <xdr:rowOff>304800</xdr:rowOff>
        </xdr:to>
        <xdr:sp macro="" textlink="">
          <xdr:nvSpPr>
            <xdr:cNvPr id="167994" name="Drop Down 58" hidden="1">
              <a:extLst>
                <a:ext uri="{63B3BB69-23CF-44E3-9099-C40C66FF867C}">
                  <a14:compatExt spid="_x0000_s167994"/>
                </a:ext>
                <a:ext uri="{FF2B5EF4-FFF2-40B4-BE49-F238E27FC236}">
                  <a16:creationId xmlns:a16="http://schemas.microsoft.com/office/drawing/2014/main" id="{00000000-0008-0000-0700-00003A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26</xdr:row>
          <xdr:rowOff>76200</xdr:rowOff>
        </xdr:from>
        <xdr:to>
          <xdr:col>6</xdr:col>
          <xdr:colOff>1638300</xdr:colOff>
          <xdr:row>26</xdr:row>
          <xdr:rowOff>304800</xdr:rowOff>
        </xdr:to>
        <xdr:sp macro="" textlink="">
          <xdr:nvSpPr>
            <xdr:cNvPr id="167995" name="Drop Down 59" hidden="1">
              <a:extLst>
                <a:ext uri="{63B3BB69-23CF-44E3-9099-C40C66FF867C}">
                  <a14:compatExt spid="_x0000_s167995"/>
                </a:ext>
                <a:ext uri="{FF2B5EF4-FFF2-40B4-BE49-F238E27FC236}">
                  <a16:creationId xmlns:a16="http://schemas.microsoft.com/office/drawing/2014/main" id="{00000000-0008-0000-0700-00003B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76200</xdr:rowOff>
        </xdr:from>
        <xdr:to>
          <xdr:col>6</xdr:col>
          <xdr:colOff>1638300</xdr:colOff>
          <xdr:row>28</xdr:row>
          <xdr:rowOff>304800</xdr:rowOff>
        </xdr:to>
        <xdr:sp macro="" textlink="">
          <xdr:nvSpPr>
            <xdr:cNvPr id="167996" name="Drop Down 60" hidden="1">
              <a:extLst>
                <a:ext uri="{63B3BB69-23CF-44E3-9099-C40C66FF867C}">
                  <a14:compatExt spid="_x0000_s167996"/>
                </a:ext>
                <a:ext uri="{FF2B5EF4-FFF2-40B4-BE49-F238E27FC236}">
                  <a16:creationId xmlns:a16="http://schemas.microsoft.com/office/drawing/2014/main" id="{00000000-0008-0000-0700-00003C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76200</xdr:rowOff>
        </xdr:from>
        <xdr:to>
          <xdr:col>6</xdr:col>
          <xdr:colOff>1638300</xdr:colOff>
          <xdr:row>30</xdr:row>
          <xdr:rowOff>304800</xdr:rowOff>
        </xdr:to>
        <xdr:sp macro="" textlink="">
          <xdr:nvSpPr>
            <xdr:cNvPr id="167997" name="Drop Down 61" hidden="1">
              <a:extLst>
                <a:ext uri="{63B3BB69-23CF-44E3-9099-C40C66FF867C}">
                  <a14:compatExt spid="_x0000_s167997"/>
                </a:ext>
                <a:ext uri="{FF2B5EF4-FFF2-40B4-BE49-F238E27FC236}">
                  <a16:creationId xmlns:a16="http://schemas.microsoft.com/office/drawing/2014/main" id="{00000000-0008-0000-0700-00003D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31</xdr:row>
          <xdr:rowOff>76200</xdr:rowOff>
        </xdr:from>
        <xdr:to>
          <xdr:col>6</xdr:col>
          <xdr:colOff>1638300</xdr:colOff>
          <xdr:row>31</xdr:row>
          <xdr:rowOff>304800</xdr:rowOff>
        </xdr:to>
        <xdr:sp macro="" textlink="">
          <xdr:nvSpPr>
            <xdr:cNvPr id="167998" name="Drop Down 62" hidden="1">
              <a:extLst>
                <a:ext uri="{63B3BB69-23CF-44E3-9099-C40C66FF867C}">
                  <a14:compatExt spid="_x0000_s167998"/>
                </a:ext>
                <a:ext uri="{FF2B5EF4-FFF2-40B4-BE49-F238E27FC236}">
                  <a16:creationId xmlns:a16="http://schemas.microsoft.com/office/drawing/2014/main" id="{00000000-0008-0000-0700-00003E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33</xdr:row>
          <xdr:rowOff>76200</xdr:rowOff>
        </xdr:from>
        <xdr:to>
          <xdr:col>6</xdr:col>
          <xdr:colOff>1638300</xdr:colOff>
          <xdr:row>33</xdr:row>
          <xdr:rowOff>304800</xdr:rowOff>
        </xdr:to>
        <xdr:sp macro="" textlink="">
          <xdr:nvSpPr>
            <xdr:cNvPr id="167999" name="Drop Down 63" hidden="1">
              <a:extLst>
                <a:ext uri="{63B3BB69-23CF-44E3-9099-C40C66FF867C}">
                  <a14:compatExt spid="_x0000_s167999"/>
                </a:ext>
                <a:ext uri="{FF2B5EF4-FFF2-40B4-BE49-F238E27FC236}">
                  <a16:creationId xmlns:a16="http://schemas.microsoft.com/office/drawing/2014/main" id="{00000000-0008-0000-0700-00003F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35</xdr:row>
          <xdr:rowOff>76200</xdr:rowOff>
        </xdr:from>
        <xdr:to>
          <xdr:col>6</xdr:col>
          <xdr:colOff>1638300</xdr:colOff>
          <xdr:row>35</xdr:row>
          <xdr:rowOff>304800</xdr:rowOff>
        </xdr:to>
        <xdr:sp macro="" textlink="">
          <xdr:nvSpPr>
            <xdr:cNvPr id="168000" name="Drop Down 64" hidden="1">
              <a:extLst>
                <a:ext uri="{63B3BB69-23CF-44E3-9099-C40C66FF867C}">
                  <a14:compatExt spid="_x0000_s168000"/>
                </a:ext>
                <a:ext uri="{FF2B5EF4-FFF2-40B4-BE49-F238E27FC236}">
                  <a16:creationId xmlns:a16="http://schemas.microsoft.com/office/drawing/2014/main" id="{00000000-0008-0000-0700-000040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37</xdr:row>
          <xdr:rowOff>76200</xdr:rowOff>
        </xdr:from>
        <xdr:to>
          <xdr:col>6</xdr:col>
          <xdr:colOff>1638300</xdr:colOff>
          <xdr:row>37</xdr:row>
          <xdr:rowOff>304800</xdr:rowOff>
        </xdr:to>
        <xdr:sp macro="" textlink="">
          <xdr:nvSpPr>
            <xdr:cNvPr id="168001" name="Drop Down 65" hidden="1">
              <a:extLst>
                <a:ext uri="{63B3BB69-23CF-44E3-9099-C40C66FF867C}">
                  <a14:compatExt spid="_x0000_s168001"/>
                </a:ext>
                <a:ext uri="{FF2B5EF4-FFF2-40B4-BE49-F238E27FC236}">
                  <a16:creationId xmlns:a16="http://schemas.microsoft.com/office/drawing/2014/main" id="{00000000-0008-0000-0700-000041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39</xdr:row>
          <xdr:rowOff>76200</xdr:rowOff>
        </xdr:from>
        <xdr:to>
          <xdr:col>6</xdr:col>
          <xdr:colOff>1638300</xdr:colOff>
          <xdr:row>39</xdr:row>
          <xdr:rowOff>304800</xdr:rowOff>
        </xdr:to>
        <xdr:sp macro="" textlink="">
          <xdr:nvSpPr>
            <xdr:cNvPr id="168002" name="Drop Down 66" hidden="1">
              <a:extLst>
                <a:ext uri="{63B3BB69-23CF-44E3-9099-C40C66FF867C}">
                  <a14:compatExt spid="_x0000_s168002"/>
                </a:ext>
                <a:ext uri="{FF2B5EF4-FFF2-40B4-BE49-F238E27FC236}">
                  <a16:creationId xmlns:a16="http://schemas.microsoft.com/office/drawing/2014/main" id="{00000000-0008-0000-0700-000042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41</xdr:row>
          <xdr:rowOff>76200</xdr:rowOff>
        </xdr:from>
        <xdr:to>
          <xdr:col>6</xdr:col>
          <xdr:colOff>1638300</xdr:colOff>
          <xdr:row>41</xdr:row>
          <xdr:rowOff>304800</xdr:rowOff>
        </xdr:to>
        <xdr:sp macro="" textlink="">
          <xdr:nvSpPr>
            <xdr:cNvPr id="168003" name="Drop Down 67" hidden="1">
              <a:extLst>
                <a:ext uri="{63B3BB69-23CF-44E3-9099-C40C66FF867C}">
                  <a14:compatExt spid="_x0000_s168003"/>
                </a:ext>
                <a:ext uri="{FF2B5EF4-FFF2-40B4-BE49-F238E27FC236}">
                  <a16:creationId xmlns:a16="http://schemas.microsoft.com/office/drawing/2014/main" id="{00000000-0008-0000-0700-000043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42</xdr:row>
          <xdr:rowOff>76200</xdr:rowOff>
        </xdr:from>
        <xdr:to>
          <xdr:col>6</xdr:col>
          <xdr:colOff>1638300</xdr:colOff>
          <xdr:row>42</xdr:row>
          <xdr:rowOff>304800</xdr:rowOff>
        </xdr:to>
        <xdr:sp macro="" textlink="">
          <xdr:nvSpPr>
            <xdr:cNvPr id="168004" name="Drop Down 68" hidden="1">
              <a:extLst>
                <a:ext uri="{63B3BB69-23CF-44E3-9099-C40C66FF867C}">
                  <a14:compatExt spid="_x0000_s168004"/>
                </a:ext>
                <a:ext uri="{FF2B5EF4-FFF2-40B4-BE49-F238E27FC236}">
                  <a16:creationId xmlns:a16="http://schemas.microsoft.com/office/drawing/2014/main" id="{00000000-0008-0000-0700-000044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44</xdr:row>
          <xdr:rowOff>76200</xdr:rowOff>
        </xdr:from>
        <xdr:to>
          <xdr:col>6</xdr:col>
          <xdr:colOff>1638300</xdr:colOff>
          <xdr:row>44</xdr:row>
          <xdr:rowOff>304800</xdr:rowOff>
        </xdr:to>
        <xdr:sp macro="" textlink="">
          <xdr:nvSpPr>
            <xdr:cNvPr id="168005" name="Drop Down 69" hidden="1">
              <a:extLst>
                <a:ext uri="{63B3BB69-23CF-44E3-9099-C40C66FF867C}">
                  <a14:compatExt spid="_x0000_s168005"/>
                </a:ext>
                <a:ext uri="{FF2B5EF4-FFF2-40B4-BE49-F238E27FC236}">
                  <a16:creationId xmlns:a16="http://schemas.microsoft.com/office/drawing/2014/main" id="{00000000-0008-0000-0700-000045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45</xdr:row>
          <xdr:rowOff>76200</xdr:rowOff>
        </xdr:from>
        <xdr:to>
          <xdr:col>6</xdr:col>
          <xdr:colOff>1638300</xdr:colOff>
          <xdr:row>45</xdr:row>
          <xdr:rowOff>304800</xdr:rowOff>
        </xdr:to>
        <xdr:sp macro="" textlink="">
          <xdr:nvSpPr>
            <xdr:cNvPr id="168006" name="Drop Down 70" hidden="1">
              <a:extLst>
                <a:ext uri="{63B3BB69-23CF-44E3-9099-C40C66FF867C}">
                  <a14:compatExt spid="_x0000_s168006"/>
                </a:ext>
                <a:ext uri="{FF2B5EF4-FFF2-40B4-BE49-F238E27FC236}">
                  <a16:creationId xmlns:a16="http://schemas.microsoft.com/office/drawing/2014/main" id="{00000000-0008-0000-0700-000046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46</xdr:row>
          <xdr:rowOff>76200</xdr:rowOff>
        </xdr:from>
        <xdr:to>
          <xdr:col>6</xdr:col>
          <xdr:colOff>1638300</xdr:colOff>
          <xdr:row>46</xdr:row>
          <xdr:rowOff>304800</xdr:rowOff>
        </xdr:to>
        <xdr:sp macro="" textlink="">
          <xdr:nvSpPr>
            <xdr:cNvPr id="168007" name="Drop Down 71" hidden="1">
              <a:extLst>
                <a:ext uri="{63B3BB69-23CF-44E3-9099-C40C66FF867C}">
                  <a14:compatExt spid="_x0000_s168007"/>
                </a:ext>
                <a:ext uri="{FF2B5EF4-FFF2-40B4-BE49-F238E27FC236}">
                  <a16:creationId xmlns:a16="http://schemas.microsoft.com/office/drawing/2014/main" id="{00000000-0008-0000-0700-000047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48</xdr:row>
          <xdr:rowOff>76200</xdr:rowOff>
        </xdr:from>
        <xdr:to>
          <xdr:col>6</xdr:col>
          <xdr:colOff>1638300</xdr:colOff>
          <xdr:row>48</xdr:row>
          <xdr:rowOff>304800</xdr:rowOff>
        </xdr:to>
        <xdr:sp macro="" textlink="">
          <xdr:nvSpPr>
            <xdr:cNvPr id="168008" name="Drop Down 72" hidden="1">
              <a:extLst>
                <a:ext uri="{63B3BB69-23CF-44E3-9099-C40C66FF867C}">
                  <a14:compatExt spid="_x0000_s168008"/>
                </a:ext>
                <a:ext uri="{FF2B5EF4-FFF2-40B4-BE49-F238E27FC236}">
                  <a16:creationId xmlns:a16="http://schemas.microsoft.com/office/drawing/2014/main" id="{00000000-0008-0000-0700-000048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50</xdr:row>
          <xdr:rowOff>76200</xdr:rowOff>
        </xdr:from>
        <xdr:to>
          <xdr:col>6</xdr:col>
          <xdr:colOff>1638300</xdr:colOff>
          <xdr:row>50</xdr:row>
          <xdr:rowOff>304800</xdr:rowOff>
        </xdr:to>
        <xdr:sp macro="" textlink="">
          <xdr:nvSpPr>
            <xdr:cNvPr id="168009" name="Drop Down 73" hidden="1">
              <a:extLst>
                <a:ext uri="{63B3BB69-23CF-44E3-9099-C40C66FF867C}">
                  <a14:compatExt spid="_x0000_s168009"/>
                </a:ext>
                <a:ext uri="{FF2B5EF4-FFF2-40B4-BE49-F238E27FC236}">
                  <a16:creationId xmlns:a16="http://schemas.microsoft.com/office/drawing/2014/main" id="{00000000-0008-0000-0700-000049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51</xdr:row>
          <xdr:rowOff>76200</xdr:rowOff>
        </xdr:from>
        <xdr:to>
          <xdr:col>6</xdr:col>
          <xdr:colOff>1638300</xdr:colOff>
          <xdr:row>51</xdr:row>
          <xdr:rowOff>304800</xdr:rowOff>
        </xdr:to>
        <xdr:sp macro="" textlink="">
          <xdr:nvSpPr>
            <xdr:cNvPr id="168010" name="Drop Down 74" hidden="1">
              <a:extLst>
                <a:ext uri="{63B3BB69-23CF-44E3-9099-C40C66FF867C}">
                  <a14:compatExt spid="_x0000_s168010"/>
                </a:ext>
                <a:ext uri="{FF2B5EF4-FFF2-40B4-BE49-F238E27FC236}">
                  <a16:creationId xmlns:a16="http://schemas.microsoft.com/office/drawing/2014/main" id="{00000000-0008-0000-0700-00004A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53</xdr:row>
          <xdr:rowOff>76200</xdr:rowOff>
        </xdr:from>
        <xdr:to>
          <xdr:col>6</xdr:col>
          <xdr:colOff>1638300</xdr:colOff>
          <xdr:row>53</xdr:row>
          <xdr:rowOff>304800</xdr:rowOff>
        </xdr:to>
        <xdr:sp macro="" textlink="">
          <xdr:nvSpPr>
            <xdr:cNvPr id="168011" name="Drop Down 75" hidden="1">
              <a:extLst>
                <a:ext uri="{63B3BB69-23CF-44E3-9099-C40C66FF867C}">
                  <a14:compatExt spid="_x0000_s168011"/>
                </a:ext>
                <a:ext uri="{FF2B5EF4-FFF2-40B4-BE49-F238E27FC236}">
                  <a16:creationId xmlns:a16="http://schemas.microsoft.com/office/drawing/2014/main" id="{00000000-0008-0000-0700-00004B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56</xdr:row>
          <xdr:rowOff>76200</xdr:rowOff>
        </xdr:from>
        <xdr:to>
          <xdr:col>6</xdr:col>
          <xdr:colOff>1638300</xdr:colOff>
          <xdr:row>56</xdr:row>
          <xdr:rowOff>304800</xdr:rowOff>
        </xdr:to>
        <xdr:sp macro="" textlink="">
          <xdr:nvSpPr>
            <xdr:cNvPr id="168012" name="Drop Down 76" hidden="1">
              <a:extLst>
                <a:ext uri="{63B3BB69-23CF-44E3-9099-C40C66FF867C}">
                  <a14:compatExt spid="_x0000_s168012"/>
                </a:ext>
                <a:ext uri="{FF2B5EF4-FFF2-40B4-BE49-F238E27FC236}">
                  <a16:creationId xmlns:a16="http://schemas.microsoft.com/office/drawing/2014/main" id="{00000000-0008-0000-0700-00004C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57</xdr:row>
          <xdr:rowOff>76200</xdr:rowOff>
        </xdr:from>
        <xdr:to>
          <xdr:col>6</xdr:col>
          <xdr:colOff>1638300</xdr:colOff>
          <xdr:row>57</xdr:row>
          <xdr:rowOff>304800</xdr:rowOff>
        </xdr:to>
        <xdr:sp macro="" textlink="">
          <xdr:nvSpPr>
            <xdr:cNvPr id="168013" name="Drop Down 77" hidden="1">
              <a:extLst>
                <a:ext uri="{63B3BB69-23CF-44E3-9099-C40C66FF867C}">
                  <a14:compatExt spid="_x0000_s168013"/>
                </a:ext>
                <a:ext uri="{FF2B5EF4-FFF2-40B4-BE49-F238E27FC236}">
                  <a16:creationId xmlns:a16="http://schemas.microsoft.com/office/drawing/2014/main" id="{00000000-0008-0000-0700-00004D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59</xdr:row>
          <xdr:rowOff>76200</xdr:rowOff>
        </xdr:from>
        <xdr:to>
          <xdr:col>6</xdr:col>
          <xdr:colOff>1638300</xdr:colOff>
          <xdr:row>59</xdr:row>
          <xdr:rowOff>304800</xdr:rowOff>
        </xdr:to>
        <xdr:sp macro="" textlink="">
          <xdr:nvSpPr>
            <xdr:cNvPr id="168014" name="Drop Down 78" hidden="1">
              <a:extLst>
                <a:ext uri="{63B3BB69-23CF-44E3-9099-C40C66FF867C}">
                  <a14:compatExt spid="_x0000_s168014"/>
                </a:ext>
                <a:ext uri="{FF2B5EF4-FFF2-40B4-BE49-F238E27FC236}">
                  <a16:creationId xmlns:a16="http://schemas.microsoft.com/office/drawing/2014/main" id="{00000000-0008-0000-0700-00004E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60</xdr:row>
          <xdr:rowOff>76200</xdr:rowOff>
        </xdr:from>
        <xdr:to>
          <xdr:col>6</xdr:col>
          <xdr:colOff>1638300</xdr:colOff>
          <xdr:row>60</xdr:row>
          <xdr:rowOff>304800</xdr:rowOff>
        </xdr:to>
        <xdr:sp macro="" textlink="">
          <xdr:nvSpPr>
            <xdr:cNvPr id="168015" name="Drop Down 79" hidden="1">
              <a:extLst>
                <a:ext uri="{63B3BB69-23CF-44E3-9099-C40C66FF867C}">
                  <a14:compatExt spid="_x0000_s168015"/>
                </a:ext>
                <a:ext uri="{FF2B5EF4-FFF2-40B4-BE49-F238E27FC236}">
                  <a16:creationId xmlns:a16="http://schemas.microsoft.com/office/drawing/2014/main" id="{00000000-0008-0000-0700-00004F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61</xdr:row>
          <xdr:rowOff>76200</xdr:rowOff>
        </xdr:from>
        <xdr:to>
          <xdr:col>6</xdr:col>
          <xdr:colOff>1638300</xdr:colOff>
          <xdr:row>61</xdr:row>
          <xdr:rowOff>304800</xdr:rowOff>
        </xdr:to>
        <xdr:sp macro="" textlink="">
          <xdr:nvSpPr>
            <xdr:cNvPr id="168016" name="Drop Down 80" hidden="1">
              <a:extLst>
                <a:ext uri="{63B3BB69-23CF-44E3-9099-C40C66FF867C}">
                  <a14:compatExt spid="_x0000_s168016"/>
                </a:ext>
                <a:ext uri="{FF2B5EF4-FFF2-40B4-BE49-F238E27FC236}">
                  <a16:creationId xmlns:a16="http://schemas.microsoft.com/office/drawing/2014/main" id="{00000000-0008-0000-0700-000050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63</xdr:row>
          <xdr:rowOff>76200</xdr:rowOff>
        </xdr:from>
        <xdr:to>
          <xdr:col>6</xdr:col>
          <xdr:colOff>1638300</xdr:colOff>
          <xdr:row>63</xdr:row>
          <xdr:rowOff>304800</xdr:rowOff>
        </xdr:to>
        <xdr:sp macro="" textlink="">
          <xdr:nvSpPr>
            <xdr:cNvPr id="168018" name="Drop Down 82" hidden="1">
              <a:extLst>
                <a:ext uri="{63B3BB69-23CF-44E3-9099-C40C66FF867C}">
                  <a14:compatExt spid="_x0000_s168018"/>
                </a:ext>
                <a:ext uri="{FF2B5EF4-FFF2-40B4-BE49-F238E27FC236}">
                  <a16:creationId xmlns:a16="http://schemas.microsoft.com/office/drawing/2014/main" id="{00000000-0008-0000-0700-000052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65</xdr:row>
          <xdr:rowOff>76200</xdr:rowOff>
        </xdr:from>
        <xdr:to>
          <xdr:col>6</xdr:col>
          <xdr:colOff>1638300</xdr:colOff>
          <xdr:row>65</xdr:row>
          <xdr:rowOff>304800</xdr:rowOff>
        </xdr:to>
        <xdr:sp macro="" textlink="">
          <xdr:nvSpPr>
            <xdr:cNvPr id="168020" name="Drop Down 84" hidden="1">
              <a:extLst>
                <a:ext uri="{63B3BB69-23CF-44E3-9099-C40C66FF867C}">
                  <a14:compatExt spid="_x0000_s168020"/>
                </a:ext>
                <a:ext uri="{FF2B5EF4-FFF2-40B4-BE49-F238E27FC236}">
                  <a16:creationId xmlns:a16="http://schemas.microsoft.com/office/drawing/2014/main" id="{00000000-0008-0000-0700-000054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67</xdr:row>
          <xdr:rowOff>76200</xdr:rowOff>
        </xdr:from>
        <xdr:to>
          <xdr:col>6</xdr:col>
          <xdr:colOff>1638300</xdr:colOff>
          <xdr:row>67</xdr:row>
          <xdr:rowOff>304800</xdr:rowOff>
        </xdr:to>
        <xdr:sp macro="" textlink="">
          <xdr:nvSpPr>
            <xdr:cNvPr id="168024" name="Drop Down 88" hidden="1">
              <a:extLst>
                <a:ext uri="{63B3BB69-23CF-44E3-9099-C40C66FF867C}">
                  <a14:compatExt spid="_x0000_s168024"/>
                </a:ext>
                <a:ext uri="{FF2B5EF4-FFF2-40B4-BE49-F238E27FC236}">
                  <a16:creationId xmlns:a16="http://schemas.microsoft.com/office/drawing/2014/main" id="{00000000-0008-0000-0700-000058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68</xdr:row>
          <xdr:rowOff>76200</xdr:rowOff>
        </xdr:from>
        <xdr:to>
          <xdr:col>6</xdr:col>
          <xdr:colOff>1638300</xdr:colOff>
          <xdr:row>68</xdr:row>
          <xdr:rowOff>304800</xdr:rowOff>
        </xdr:to>
        <xdr:sp macro="" textlink="">
          <xdr:nvSpPr>
            <xdr:cNvPr id="168025" name="Drop Down 89" hidden="1">
              <a:extLst>
                <a:ext uri="{63B3BB69-23CF-44E3-9099-C40C66FF867C}">
                  <a14:compatExt spid="_x0000_s168025"/>
                </a:ext>
                <a:ext uri="{FF2B5EF4-FFF2-40B4-BE49-F238E27FC236}">
                  <a16:creationId xmlns:a16="http://schemas.microsoft.com/office/drawing/2014/main" id="{00000000-0008-0000-0700-000059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70</xdr:row>
          <xdr:rowOff>76200</xdr:rowOff>
        </xdr:from>
        <xdr:to>
          <xdr:col>6</xdr:col>
          <xdr:colOff>1638300</xdr:colOff>
          <xdr:row>70</xdr:row>
          <xdr:rowOff>304800</xdr:rowOff>
        </xdr:to>
        <xdr:sp macro="" textlink="">
          <xdr:nvSpPr>
            <xdr:cNvPr id="168026" name="Drop Down 90" hidden="1">
              <a:extLst>
                <a:ext uri="{63B3BB69-23CF-44E3-9099-C40C66FF867C}">
                  <a14:compatExt spid="_x0000_s168026"/>
                </a:ext>
                <a:ext uri="{FF2B5EF4-FFF2-40B4-BE49-F238E27FC236}">
                  <a16:creationId xmlns:a16="http://schemas.microsoft.com/office/drawing/2014/main" id="{00000000-0008-0000-0700-00005A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72</xdr:row>
          <xdr:rowOff>76200</xdr:rowOff>
        </xdr:from>
        <xdr:to>
          <xdr:col>6</xdr:col>
          <xdr:colOff>1638300</xdr:colOff>
          <xdr:row>72</xdr:row>
          <xdr:rowOff>304800</xdr:rowOff>
        </xdr:to>
        <xdr:sp macro="" textlink="">
          <xdr:nvSpPr>
            <xdr:cNvPr id="168027" name="Drop Down 91" hidden="1">
              <a:extLst>
                <a:ext uri="{63B3BB69-23CF-44E3-9099-C40C66FF867C}">
                  <a14:compatExt spid="_x0000_s168027"/>
                </a:ext>
                <a:ext uri="{FF2B5EF4-FFF2-40B4-BE49-F238E27FC236}">
                  <a16:creationId xmlns:a16="http://schemas.microsoft.com/office/drawing/2014/main" id="{00000000-0008-0000-0700-00005B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74</xdr:row>
          <xdr:rowOff>76200</xdr:rowOff>
        </xdr:from>
        <xdr:to>
          <xdr:col>6</xdr:col>
          <xdr:colOff>1638300</xdr:colOff>
          <xdr:row>74</xdr:row>
          <xdr:rowOff>304800</xdr:rowOff>
        </xdr:to>
        <xdr:sp macro="" textlink="">
          <xdr:nvSpPr>
            <xdr:cNvPr id="168028" name="Drop Down 92" hidden="1">
              <a:extLst>
                <a:ext uri="{63B3BB69-23CF-44E3-9099-C40C66FF867C}">
                  <a14:compatExt spid="_x0000_s168028"/>
                </a:ext>
                <a:ext uri="{FF2B5EF4-FFF2-40B4-BE49-F238E27FC236}">
                  <a16:creationId xmlns:a16="http://schemas.microsoft.com/office/drawing/2014/main" id="{00000000-0008-0000-0700-00005C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76</xdr:row>
          <xdr:rowOff>76200</xdr:rowOff>
        </xdr:from>
        <xdr:to>
          <xdr:col>6</xdr:col>
          <xdr:colOff>1638300</xdr:colOff>
          <xdr:row>76</xdr:row>
          <xdr:rowOff>304800</xdr:rowOff>
        </xdr:to>
        <xdr:sp macro="" textlink="">
          <xdr:nvSpPr>
            <xdr:cNvPr id="168029" name="Drop Down 93" hidden="1">
              <a:extLst>
                <a:ext uri="{63B3BB69-23CF-44E3-9099-C40C66FF867C}">
                  <a14:compatExt spid="_x0000_s168029"/>
                </a:ext>
                <a:ext uri="{FF2B5EF4-FFF2-40B4-BE49-F238E27FC236}">
                  <a16:creationId xmlns:a16="http://schemas.microsoft.com/office/drawing/2014/main" id="{00000000-0008-0000-0700-00005D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78</xdr:row>
          <xdr:rowOff>76200</xdr:rowOff>
        </xdr:from>
        <xdr:to>
          <xdr:col>6</xdr:col>
          <xdr:colOff>1638300</xdr:colOff>
          <xdr:row>78</xdr:row>
          <xdr:rowOff>304800</xdr:rowOff>
        </xdr:to>
        <xdr:sp macro="" textlink="">
          <xdr:nvSpPr>
            <xdr:cNvPr id="168030" name="Drop Down 94" hidden="1">
              <a:extLst>
                <a:ext uri="{63B3BB69-23CF-44E3-9099-C40C66FF867C}">
                  <a14:compatExt spid="_x0000_s168030"/>
                </a:ext>
                <a:ext uri="{FF2B5EF4-FFF2-40B4-BE49-F238E27FC236}">
                  <a16:creationId xmlns:a16="http://schemas.microsoft.com/office/drawing/2014/main" id="{00000000-0008-0000-0700-00005E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79</xdr:row>
          <xdr:rowOff>76200</xdr:rowOff>
        </xdr:from>
        <xdr:to>
          <xdr:col>6</xdr:col>
          <xdr:colOff>1638300</xdr:colOff>
          <xdr:row>79</xdr:row>
          <xdr:rowOff>304800</xdr:rowOff>
        </xdr:to>
        <xdr:sp macro="" textlink="">
          <xdr:nvSpPr>
            <xdr:cNvPr id="168031" name="Drop Down 95" hidden="1">
              <a:extLst>
                <a:ext uri="{63B3BB69-23CF-44E3-9099-C40C66FF867C}">
                  <a14:compatExt spid="_x0000_s168031"/>
                </a:ext>
                <a:ext uri="{FF2B5EF4-FFF2-40B4-BE49-F238E27FC236}">
                  <a16:creationId xmlns:a16="http://schemas.microsoft.com/office/drawing/2014/main" id="{00000000-0008-0000-0700-00005F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80</xdr:row>
          <xdr:rowOff>76200</xdr:rowOff>
        </xdr:from>
        <xdr:to>
          <xdr:col>6</xdr:col>
          <xdr:colOff>1638300</xdr:colOff>
          <xdr:row>80</xdr:row>
          <xdr:rowOff>304800</xdr:rowOff>
        </xdr:to>
        <xdr:sp macro="" textlink="">
          <xdr:nvSpPr>
            <xdr:cNvPr id="168032" name="Drop Down 96" hidden="1">
              <a:extLst>
                <a:ext uri="{63B3BB69-23CF-44E3-9099-C40C66FF867C}">
                  <a14:compatExt spid="_x0000_s168032"/>
                </a:ext>
                <a:ext uri="{FF2B5EF4-FFF2-40B4-BE49-F238E27FC236}">
                  <a16:creationId xmlns:a16="http://schemas.microsoft.com/office/drawing/2014/main" id="{00000000-0008-0000-0700-000060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82</xdr:row>
          <xdr:rowOff>76200</xdr:rowOff>
        </xdr:from>
        <xdr:to>
          <xdr:col>6</xdr:col>
          <xdr:colOff>1638300</xdr:colOff>
          <xdr:row>82</xdr:row>
          <xdr:rowOff>304800</xdr:rowOff>
        </xdr:to>
        <xdr:sp macro="" textlink="">
          <xdr:nvSpPr>
            <xdr:cNvPr id="168033" name="Drop Down 97" hidden="1">
              <a:extLst>
                <a:ext uri="{63B3BB69-23CF-44E3-9099-C40C66FF867C}">
                  <a14:compatExt spid="_x0000_s168033"/>
                </a:ext>
                <a:ext uri="{FF2B5EF4-FFF2-40B4-BE49-F238E27FC236}">
                  <a16:creationId xmlns:a16="http://schemas.microsoft.com/office/drawing/2014/main" id="{00000000-0008-0000-0700-000061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83</xdr:row>
          <xdr:rowOff>76200</xdr:rowOff>
        </xdr:from>
        <xdr:to>
          <xdr:col>6</xdr:col>
          <xdr:colOff>1638300</xdr:colOff>
          <xdr:row>83</xdr:row>
          <xdr:rowOff>304800</xdr:rowOff>
        </xdr:to>
        <xdr:sp macro="" textlink="">
          <xdr:nvSpPr>
            <xdr:cNvPr id="168034" name="Drop Down 98" hidden="1">
              <a:extLst>
                <a:ext uri="{63B3BB69-23CF-44E3-9099-C40C66FF867C}">
                  <a14:compatExt spid="_x0000_s168034"/>
                </a:ext>
                <a:ext uri="{FF2B5EF4-FFF2-40B4-BE49-F238E27FC236}">
                  <a16:creationId xmlns:a16="http://schemas.microsoft.com/office/drawing/2014/main" id="{00000000-0008-0000-0700-000062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85</xdr:row>
          <xdr:rowOff>76200</xdr:rowOff>
        </xdr:from>
        <xdr:to>
          <xdr:col>6</xdr:col>
          <xdr:colOff>1638300</xdr:colOff>
          <xdr:row>85</xdr:row>
          <xdr:rowOff>304800</xdr:rowOff>
        </xdr:to>
        <xdr:sp macro="" textlink="">
          <xdr:nvSpPr>
            <xdr:cNvPr id="168035" name="Drop Down 99" hidden="1">
              <a:extLst>
                <a:ext uri="{63B3BB69-23CF-44E3-9099-C40C66FF867C}">
                  <a14:compatExt spid="_x0000_s168035"/>
                </a:ext>
                <a:ext uri="{FF2B5EF4-FFF2-40B4-BE49-F238E27FC236}">
                  <a16:creationId xmlns:a16="http://schemas.microsoft.com/office/drawing/2014/main" id="{00000000-0008-0000-0700-000063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87</xdr:row>
          <xdr:rowOff>76200</xdr:rowOff>
        </xdr:from>
        <xdr:to>
          <xdr:col>6</xdr:col>
          <xdr:colOff>1638300</xdr:colOff>
          <xdr:row>87</xdr:row>
          <xdr:rowOff>304800</xdr:rowOff>
        </xdr:to>
        <xdr:sp macro="" textlink="">
          <xdr:nvSpPr>
            <xdr:cNvPr id="168036" name="Drop Down 100" hidden="1">
              <a:extLst>
                <a:ext uri="{63B3BB69-23CF-44E3-9099-C40C66FF867C}">
                  <a14:compatExt spid="_x0000_s168036"/>
                </a:ext>
                <a:ext uri="{FF2B5EF4-FFF2-40B4-BE49-F238E27FC236}">
                  <a16:creationId xmlns:a16="http://schemas.microsoft.com/office/drawing/2014/main" id="{00000000-0008-0000-0700-000064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89</xdr:row>
          <xdr:rowOff>76200</xdr:rowOff>
        </xdr:from>
        <xdr:to>
          <xdr:col>6</xdr:col>
          <xdr:colOff>1638300</xdr:colOff>
          <xdr:row>89</xdr:row>
          <xdr:rowOff>304800</xdr:rowOff>
        </xdr:to>
        <xdr:sp macro="" textlink="">
          <xdr:nvSpPr>
            <xdr:cNvPr id="168037" name="Drop Down 101" hidden="1">
              <a:extLst>
                <a:ext uri="{63B3BB69-23CF-44E3-9099-C40C66FF867C}">
                  <a14:compatExt spid="_x0000_s168037"/>
                </a:ext>
                <a:ext uri="{FF2B5EF4-FFF2-40B4-BE49-F238E27FC236}">
                  <a16:creationId xmlns:a16="http://schemas.microsoft.com/office/drawing/2014/main" id="{00000000-0008-0000-0700-000065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90</xdr:row>
          <xdr:rowOff>76200</xdr:rowOff>
        </xdr:from>
        <xdr:to>
          <xdr:col>6</xdr:col>
          <xdr:colOff>1638300</xdr:colOff>
          <xdr:row>90</xdr:row>
          <xdr:rowOff>304800</xdr:rowOff>
        </xdr:to>
        <xdr:sp macro="" textlink="">
          <xdr:nvSpPr>
            <xdr:cNvPr id="168038" name="Drop Down 102" hidden="1">
              <a:extLst>
                <a:ext uri="{63B3BB69-23CF-44E3-9099-C40C66FF867C}">
                  <a14:compatExt spid="_x0000_s168038"/>
                </a:ext>
                <a:ext uri="{FF2B5EF4-FFF2-40B4-BE49-F238E27FC236}">
                  <a16:creationId xmlns:a16="http://schemas.microsoft.com/office/drawing/2014/main" id="{00000000-0008-0000-0700-000066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91</xdr:row>
          <xdr:rowOff>76200</xdr:rowOff>
        </xdr:from>
        <xdr:to>
          <xdr:col>6</xdr:col>
          <xdr:colOff>1638300</xdr:colOff>
          <xdr:row>91</xdr:row>
          <xdr:rowOff>304800</xdr:rowOff>
        </xdr:to>
        <xdr:sp macro="" textlink="">
          <xdr:nvSpPr>
            <xdr:cNvPr id="168039" name="Drop Down 103" hidden="1">
              <a:extLst>
                <a:ext uri="{63B3BB69-23CF-44E3-9099-C40C66FF867C}">
                  <a14:compatExt spid="_x0000_s168039"/>
                </a:ext>
                <a:ext uri="{FF2B5EF4-FFF2-40B4-BE49-F238E27FC236}">
                  <a16:creationId xmlns:a16="http://schemas.microsoft.com/office/drawing/2014/main" id="{00000000-0008-0000-0700-000067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92</xdr:row>
          <xdr:rowOff>76200</xdr:rowOff>
        </xdr:from>
        <xdr:to>
          <xdr:col>6</xdr:col>
          <xdr:colOff>1638300</xdr:colOff>
          <xdr:row>92</xdr:row>
          <xdr:rowOff>304800</xdr:rowOff>
        </xdr:to>
        <xdr:sp macro="" textlink="">
          <xdr:nvSpPr>
            <xdr:cNvPr id="168040" name="Drop Down 104" hidden="1">
              <a:extLst>
                <a:ext uri="{63B3BB69-23CF-44E3-9099-C40C66FF867C}">
                  <a14:compatExt spid="_x0000_s168040"/>
                </a:ext>
                <a:ext uri="{FF2B5EF4-FFF2-40B4-BE49-F238E27FC236}">
                  <a16:creationId xmlns:a16="http://schemas.microsoft.com/office/drawing/2014/main" id="{00000000-0008-0000-0700-000068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93</xdr:row>
          <xdr:rowOff>76200</xdr:rowOff>
        </xdr:from>
        <xdr:to>
          <xdr:col>6</xdr:col>
          <xdr:colOff>1638300</xdr:colOff>
          <xdr:row>93</xdr:row>
          <xdr:rowOff>304800</xdr:rowOff>
        </xdr:to>
        <xdr:sp macro="" textlink="">
          <xdr:nvSpPr>
            <xdr:cNvPr id="168041" name="Drop Down 105" hidden="1">
              <a:extLst>
                <a:ext uri="{63B3BB69-23CF-44E3-9099-C40C66FF867C}">
                  <a14:compatExt spid="_x0000_s168041"/>
                </a:ext>
                <a:ext uri="{FF2B5EF4-FFF2-40B4-BE49-F238E27FC236}">
                  <a16:creationId xmlns:a16="http://schemas.microsoft.com/office/drawing/2014/main" id="{00000000-0008-0000-0700-000069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94</xdr:row>
          <xdr:rowOff>76200</xdr:rowOff>
        </xdr:from>
        <xdr:to>
          <xdr:col>6</xdr:col>
          <xdr:colOff>1638300</xdr:colOff>
          <xdr:row>94</xdr:row>
          <xdr:rowOff>304800</xdr:rowOff>
        </xdr:to>
        <xdr:sp macro="" textlink="">
          <xdr:nvSpPr>
            <xdr:cNvPr id="168042" name="Drop Down 106" hidden="1">
              <a:extLst>
                <a:ext uri="{63B3BB69-23CF-44E3-9099-C40C66FF867C}">
                  <a14:compatExt spid="_x0000_s168042"/>
                </a:ext>
                <a:ext uri="{FF2B5EF4-FFF2-40B4-BE49-F238E27FC236}">
                  <a16:creationId xmlns:a16="http://schemas.microsoft.com/office/drawing/2014/main" id="{00000000-0008-0000-0700-00006A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97</xdr:row>
          <xdr:rowOff>76200</xdr:rowOff>
        </xdr:from>
        <xdr:to>
          <xdr:col>6</xdr:col>
          <xdr:colOff>1638300</xdr:colOff>
          <xdr:row>97</xdr:row>
          <xdr:rowOff>304800</xdr:rowOff>
        </xdr:to>
        <xdr:sp macro="" textlink="">
          <xdr:nvSpPr>
            <xdr:cNvPr id="168043" name="Drop Down 107" hidden="1">
              <a:extLst>
                <a:ext uri="{63B3BB69-23CF-44E3-9099-C40C66FF867C}">
                  <a14:compatExt spid="_x0000_s168043"/>
                </a:ext>
                <a:ext uri="{FF2B5EF4-FFF2-40B4-BE49-F238E27FC236}">
                  <a16:creationId xmlns:a16="http://schemas.microsoft.com/office/drawing/2014/main" id="{00000000-0008-0000-0700-00006B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98</xdr:row>
          <xdr:rowOff>76200</xdr:rowOff>
        </xdr:from>
        <xdr:to>
          <xdr:col>6</xdr:col>
          <xdr:colOff>1638300</xdr:colOff>
          <xdr:row>98</xdr:row>
          <xdr:rowOff>304800</xdr:rowOff>
        </xdr:to>
        <xdr:sp macro="" textlink="">
          <xdr:nvSpPr>
            <xdr:cNvPr id="168044" name="Drop Down 108" hidden="1">
              <a:extLst>
                <a:ext uri="{63B3BB69-23CF-44E3-9099-C40C66FF867C}">
                  <a14:compatExt spid="_x0000_s168044"/>
                </a:ext>
                <a:ext uri="{FF2B5EF4-FFF2-40B4-BE49-F238E27FC236}">
                  <a16:creationId xmlns:a16="http://schemas.microsoft.com/office/drawing/2014/main" id="{00000000-0008-0000-0700-00006C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100</xdr:row>
          <xdr:rowOff>76200</xdr:rowOff>
        </xdr:from>
        <xdr:to>
          <xdr:col>6</xdr:col>
          <xdr:colOff>1638300</xdr:colOff>
          <xdr:row>100</xdr:row>
          <xdr:rowOff>304800</xdr:rowOff>
        </xdr:to>
        <xdr:sp macro="" textlink="">
          <xdr:nvSpPr>
            <xdr:cNvPr id="168045" name="Drop Down 109" hidden="1">
              <a:extLst>
                <a:ext uri="{63B3BB69-23CF-44E3-9099-C40C66FF867C}">
                  <a14:compatExt spid="_x0000_s168045"/>
                </a:ext>
                <a:ext uri="{FF2B5EF4-FFF2-40B4-BE49-F238E27FC236}">
                  <a16:creationId xmlns:a16="http://schemas.microsoft.com/office/drawing/2014/main" id="{00000000-0008-0000-0700-00006D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101</xdr:row>
          <xdr:rowOff>76200</xdr:rowOff>
        </xdr:from>
        <xdr:to>
          <xdr:col>6</xdr:col>
          <xdr:colOff>1638300</xdr:colOff>
          <xdr:row>101</xdr:row>
          <xdr:rowOff>304800</xdr:rowOff>
        </xdr:to>
        <xdr:sp macro="" textlink="">
          <xdr:nvSpPr>
            <xdr:cNvPr id="168046" name="Drop Down 110" hidden="1">
              <a:extLst>
                <a:ext uri="{63B3BB69-23CF-44E3-9099-C40C66FF867C}">
                  <a14:compatExt spid="_x0000_s168046"/>
                </a:ext>
                <a:ext uri="{FF2B5EF4-FFF2-40B4-BE49-F238E27FC236}">
                  <a16:creationId xmlns:a16="http://schemas.microsoft.com/office/drawing/2014/main" id="{00000000-0008-0000-0700-00006E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102</xdr:row>
          <xdr:rowOff>76200</xdr:rowOff>
        </xdr:from>
        <xdr:to>
          <xdr:col>6</xdr:col>
          <xdr:colOff>1638300</xdr:colOff>
          <xdr:row>102</xdr:row>
          <xdr:rowOff>304800</xdr:rowOff>
        </xdr:to>
        <xdr:sp macro="" textlink="">
          <xdr:nvSpPr>
            <xdr:cNvPr id="168047" name="Drop Down 111" hidden="1">
              <a:extLst>
                <a:ext uri="{63B3BB69-23CF-44E3-9099-C40C66FF867C}">
                  <a14:compatExt spid="_x0000_s168047"/>
                </a:ext>
                <a:ext uri="{FF2B5EF4-FFF2-40B4-BE49-F238E27FC236}">
                  <a16:creationId xmlns:a16="http://schemas.microsoft.com/office/drawing/2014/main" id="{00000000-0008-0000-0700-00006F90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4</xdr:col>
      <xdr:colOff>171450</xdr:colOff>
      <xdr:row>0</xdr:row>
      <xdr:rowOff>76200</xdr:rowOff>
    </xdr:from>
    <xdr:to>
      <xdr:col>4</xdr:col>
      <xdr:colOff>933450</xdr:colOff>
      <xdr:row>5</xdr:row>
      <xdr:rowOff>19321</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790" y="76200"/>
          <a:ext cx="762000" cy="888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6</xdr:col>
          <xdr:colOff>400050</xdr:colOff>
          <xdr:row>8</xdr:row>
          <xdr:rowOff>76200</xdr:rowOff>
        </xdr:from>
        <xdr:to>
          <xdr:col>6</xdr:col>
          <xdr:colOff>1638300</xdr:colOff>
          <xdr:row>8</xdr:row>
          <xdr:rowOff>304800</xdr:rowOff>
        </xdr:to>
        <xdr:sp macro="" textlink="">
          <xdr:nvSpPr>
            <xdr:cNvPr id="168961" name="Drop Down 1" hidden="1">
              <a:extLst>
                <a:ext uri="{63B3BB69-23CF-44E3-9099-C40C66FF867C}">
                  <a14:compatExt spid="_x0000_s168961"/>
                </a:ext>
                <a:ext uri="{FF2B5EF4-FFF2-40B4-BE49-F238E27FC236}">
                  <a16:creationId xmlns:a16="http://schemas.microsoft.com/office/drawing/2014/main" id="{00000000-0008-0000-0800-000001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9</xdr:row>
          <xdr:rowOff>76200</xdr:rowOff>
        </xdr:from>
        <xdr:to>
          <xdr:col>6</xdr:col>
          <xdr:colOff>1638300</xdr:colOff>
          <xdr:row>9</xdr:row>
          <xdr:rowOff>304800</xdr:rowOff>
        </xdr:to>
        <xdr:sp macro="" textlink="">
          <xdr:nvSpPr>
            <xdr:cNvPr id="169007" name="Drop Down 47" hidden="1">
              <a:extLst>
                <a:ext uri="{63B3BB69-23CF-44E3-9099-C40C66FF867C}">
                  <a14:compatExt spid="_x0000_s169007"/>
                </a:ext>
                <a:ext uri="{FF2B5EF4-FFF2-40B4-BE49-F238E27FC236}">
                  <a16:creationId xmlns:a16="http://schemas.microsoft.com/office/drawing/2014/main" id="{00000000-0008-0000-0800-00002F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12</xdr:row>
          <xdr:rowOff>76200</xdr:rowOff>
        </xdr:from>
        <xdr:to>
          <xdr:col>6</xdr:col>
          <xdr:colOff>1638300</xdr:colOff>
          <xdr:row>12</xdr:row>
          <xdr:rowOff>304800</xdr:rowOff>
        </xdr:to>
        <xdr:sp macro="" textlink="">
          <xdr:nvSpPr>
            <xdr:cNvPr id="169008" name="Drop Down 48" hidden="1">
              <a:extLst>
                <a:ext uri="{63B3BB69-23CF-44E3-9099-C40C66FF867C}">
                  <a14:compatExt spid="_x0000_s169008"/>
                </a:ext>
                <a:ext uri="{FF2B5EF4-FFF2-40B4-BE49-F238E27FC236}">
                  <a16:creationId xmlns:a16="http://schemas.microsoft.com/office/drawing/2014/main" id="{00000000-0008-0000-0800-000030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13</xdr:row>
          <xdr:rowOff>76200</xdr:rowOff>
        </xdr:from>
        <xdr:to>
          <xdr:col>6</xdr:col>
          <xdr:colOff>1638300</xdr:colOff>
          <xdr:row>13</xdr:row>
          <xdr:rowOff>304800</xdr:rowOff>
        </xdr:to>
        <xdr:sp macro="" textlink="">
          <xdr:nvSpPr>
            <xdr:cNvPr id="169009" name="Drop Down 49" hidden="1">
              <a:extLst>
                <a:ext uri="{63B3BB69-23CF-44E3-9099-C40C66FF867C}">
                  <a14:compatExt spid="_x0000_s169009"/>
                </a:ext>
                <a:ext uri="{FF2B5EF4-FFF2-40B4-BE49-F238E27FC236}">
                  <a16:creationId xmlns:a16="http://schemas.microsoft.com/office/drawing/2014/main" id="{00000000-0008-0000-0800-000031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16</xdr:row>
          <xdr:rowOff>76200</xdr:rowOff>
        </xdr:from>
        <xdr:to>
          <xdr:col>6</xdr:col>
          <xdr:colOff>1638300</xdr:colOff>
          <xdr:row>16</xdr:row>
          <xdr:rowOff>304800</xdr:rowOff>
        </xdr:to>
        <xdr:sp macro="" textlink="">
          <xdr:nvSpPr>
            <xdr:cNvPr id="169010" name="Drop Down 50" hidden="1">
              <a:extLst>
                <a:ext uri="{63B3BB69-23CF-44E3-9099-C40C66FF867C}">
                  <a14:compatExt spid="_x0000_s169010"/>
                </a:ext>
                <a:ext uri="{FF2B5EF4-FFF2-40B4-BE49-F238E27FC236}">
                  <a16:creationId xmlns:a16="http://schemas.microsoft.com/office/drawing/2014/main" id="{00000000-0008-0000-0800-000032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17</xdr:row>
          <xdr:rowOff>76200</xdr:rowOff>
        </xdr:from>
        <xdr:to>
          <xdr:col>6</xdr:col>
          <xdr:colOff>1638300</xdr:colOff>
          <xdr:row>17</xdr:row>
          <xdr:rowOff>304800</xdr:rowOff>
        </xdr:to>
        <xdr:sp macro="" textlink="">
          <xdr:nvSpPr>
            <xdr:cNvPr id="169011" name="Drop Down 51" hidden="1">
              <a:extLst>
                <a:ext uri="{63B3BB69-23CF-44E3-9099-C40C66FF867C}">
                  <a14:compatExt spid="_x0000_s169011"/>
                </a:ext>
                <a:ext uri="{FF2B5EF4-FFF2-40B4-BE49-F238E27FC236}">
                  <a16:creationId xmlns:a16="http://schemas.microsoft.com/office/drawing/2014/main" id="{00000000-0008-0000-0800-000033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18</xdr:row>
          <xdr:rowOff>76200</xdr:rowOff>
        </xdr:from>
        <xdr:to>
          <xdr:col>6</xdr:col>
          <xdr:colOff>1638300</xdr:colOff>
          <xdr:row>18</xdr:row>
          <xdr:rowOff>304800</xdr:rowOff>
        </xdr:to>
        <xdr:sp macro="" textlink="">
          <xdr:nvSpPr>
            <xdr:cNvPr id="169012" name="Drop Down 52" hidden="1">
              <a:extLst>
                <a:ext uri="{63B3BB69-23CF-44E3-9099-C40C66FF867C}">
                  <a14:compatExt spid="_x0000_s169012"/>
                </a:ext>
                <a:ext uri="{FF2B5EF4-FFF2-40B4-BE49-F238E27FC236}">
                  <a16:creationId xmlns:a16="http://schemas.microsoft.com/office/drawing/2014/main" id="{00000000-0008-0000-0800-000034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21</xdr:row>
          <xdr:rowOff>76200</xdr:rowOff>
        </xdr:from>
        <xdr:to>
          <xdr:col>6</xdr:col>
          <xdr:colOff>1638300</xdr:colOff>
          <xdr:row>21</xdr:row>
          <xdr:rowOff>304800</xdr:rowOff>
        </xdr:to>
        <xdr:sp macro="" textlink="">
          <xdr:nvSpPr>
            <xdr:cNvPr id="169013" name="Drop Down 53" hidden="1">
              <a:extLst>
                <a:ext uri="{63B3BB69-23CF-44E3-9099-C40C66FF867C}">
                  <a14:compatExt spid="_x0000_s169013"/>
                </a:ext>
                <a:ext uri="{FF2B5EF4-FFF2-40B4-BE49-F238E27FC236}">
                  <a16:creationId xmlns:a16="http://schemas.microsoft.com/office/drawing/2014/main" id="{00000000-0008-0000-0800-000035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22</xdr:row>
          <xdr:rowOff>76200</xdr:rowOff>
        </xdr:from>
        <xdr:to>
          <xdr:col>6</xdr:col>
          <xdr:colOff>1638300</xdr:colOff>
          <xdr:row>22</xdr:row>
          <xdr:rowOff>304800</xdr:rowOff>
        </xdr:to>
        <xdr:sp macro="" textlink="">
          <xdr:nvSpPr>
            <xdr:cNvPr id="169014" name="Drop Down 54" hidden="1">
              <a:extLst>
                <a:ext uri="{63B3BB69-23CF-44E3-9099-C40C66FF867C}">
                  <a14:compatExt spid="_x0000_s169014"/>
                </a:ext>
                <a:ext uri="{FF2B5EF4-FFF2-40B4-BE49-F238E27FC236}">
                  <a16:creationId xmlns:a16="http://schemas.microsoft.com/office/drawing/2014/main" id="{00000000-0008-0000-0800-000036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25</xdr:row>
          <xdr:rowOff>76200</xdr:rowOff>
        </xdr:from>
        <xdr:to>
          <xdr:col>6</xdr:col>
          <xdr:colOff>1638300</xdr:colOff>
          <xdr:row>25</xdr:row>
          <xdr:rowOff>304800</xdr:rowOff>
        </xdr:to>
        <xdr:sp macro="" textlink="">
          <xdr:nvSpPr>
            <xdr:cNvPr id="169015" name="Drop Down 55" hidden="1">
              <a:extLst>
                <a:ext uri="{63B3BB69-23CF-44E3-9099-C40C66FF867C}">
                  <a14:compatExt spid="_x0000_s169015"/>
                </a:ext>
                <a:ext uri="{FF2B5EF4-FFF2-40B4-BE49-F238E27FC236}">
                  <a16:creationId xmlns:a16="http://schemas.microsoft.com/office/drawing/2014/main" id="{00000000-0008-0000-0800-000037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26</xdr:row>
          <xdr:rowOff>76200</xdr:rowOff>
        </xdr:from>
        <xdr:to>
          <xdr:col>6</xdr:col>
          <xdr:colOff>1638300</xdr:colOff>
          <xdr:row>26</xdr:row>
          <xdr:rowOff>304800</xdr:rowOff>
        </xdr:to>
        <xdr:sp macro="" textlink="">
          <xdr:nvSpPr>
            <xdr:cNvPr id="169016" name="Drop Down 56" hidden="1">
              <a:extLst>
                <a:ext uri="{63B3BB69-23CF-44E3-9099-C40C66FF867C}">
                  <a14:compatExt spid="_x0000_s169016"/>
                </a:ext>
                <a:ext uri="{FF2B5EF4-FFF2-40B4-BE49-F238E27FC236}">
                  <a16:creationId xmlns:a16="http://schemas.microsoft.com/office/drawing/2014/main" id="{00000000-0008-0000-0800-000038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76200</xdr:rowOff>
        </xdr:from>
        <xdr:to>
          <xdr:col>6</xdr:col>
          <xdr:colOff>1638300</xdr:colOff>
          <xdr:row>27</xdr:row>
          <xdr:rowOff>304800</xdr:rowOff>
        </xdr:to>
        <xdr:sp macro="" textlink="">
          <xdr:nvSpPr>
            <xdr:cNvPr id="169017" name="Drop Down 57" hidden="1">
              <a:extLst>
                <a:ext uri="{63B3BB69-23CF-44E3-9099-C40C66FF867C}">
                  <a14:compatExt spid="_x0000_s169017"/>
                </a:ext>
                <a:ext uri="{FF2B5EF4-FFF2-40B4-BE49-F238E27FC236}">
                  <a16:creationId xmlns:a16="http://schemas.microsoft.com/office/drawing/2014/main" id="{00000000-0008-0000-0800-000039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76200</xdr:rowOff>
        </xdr:from>
        <xdr:to>
          <xdr:col>6</xdr:col>
          <xdr:colOff>1638300</xdr:colOff>
          <xdr:row>28</xdr:row>
          <xdr:rowOff>304800</xdr:rowOff>
        </xdr:to>
        <xdr:sp macro="" textlink="">
          <xdr:nvSpPr>
            <xdr:cNvPr id="169018" name="Drop Down 58" hidden="1">
              <a:extLst>
                <a:ext uri="{63B3BB69-23CF-44E3-9099-C40C66FF867C}">
                  <a14:compatExt spid="_x0000_s169018"/>
                </a:ext>
                <a:ext uri="{FF2B5EF4-FFF2-40B4-BE49-F238E27FC236}">
                  <a16:creationId xmlns:a16="http://schemas.microsoft.com/office/drawing/2014/main" id="{00000000-0008-0000-0800-00003A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76200</xdr:rowOff>
        </xdr:from>
        <xdr:to>
          <xdr:col>6</xdr:col>
          <xdr:colOff>1638300</xdr:colOff>
          <xdr:row>30</xdr:row>
          <xdr:rowOff>304800</xdr:rowOff>
        </xdr:to>
        <xdr:sp macro="" textlink="">
          <xdr:nvSpPr>
            <xdr:cNvPr id="169019" name="Drop Down 59" hidden="1">
              <a:extLst>
                <a:ext uri="{63B3BB69-23CF-44E3-9099-C40C66FF867C}">
                  <a14:compatExt spid="_x0000_s169019"/>
                </a:ext>
                <a:ext uri="{FF2B5EF4-FFF2-40B4-BE49-F238E27FC236}">
                  <a16:creationId xmlns:a16="http://schemas.microsoft.com/office/drawing/2014/main" id="{00000000-0008-0000-0800-00003B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31</xdr:row>
          <xdr:rowOff>76200</xdr:rowOff>
        </xdr:from>
        <xdr:to>
          <xdr:col>6</xdr:col>
          <xdr:colOff>1638300</xdr:colOff>
          <xdr:row>31</xdr:row>
          <xdr:rowOff>304800</xdr:rowOff>
        </xdr:to>
        <xdr:sp macro="" textlink="">
          <xdr:nvSpPr>
            <xdr:cNvPr id="169020" name="Drop Down 60" hidden="1">
              <a:extLst>
                <a:ext uri="{63B3BB69-23CF-44E3-9099-C40C66FF867C}">
                  <a14:compatExt spid="_x0000_s169020"/>
                </a:ext>
                <a:ext uri="{FF2B5EF4-FFF2-40B4-BE49-F238E27FC236}">
                  <a16:creationId xmlns:a16="http://schemas.microsoft.com/office/drawing/2014/main" id="{00000000-0008-0000-0800-00003C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32</xdr:row>
          <xdr:rowOff>76200</xdr:rowOff>
        </xdr:from>
        <xdr:to>
          <xdr:col>6</xdr:col>
          <xdr:colOff>1638300</xdr:colOff>
          <xdr:row>32</xdr:row>
          <xdr:rowOff>304800</xdr:rowOff>
        </xdr:to>
        <xdr:sp macro="" textlink="">
          <xdr:nvSpPr>
            <xdr:cNvPr id="169021" name="Drop Down 61" hidden="1">
              <a:extLst>
                <a:ext uri="{63B3BB69-23CF-44E3-9099-C40C66FF867C}">
                  <a14:compatExt spid="_x0000_s169021"/>
                </a:ext>
                <a:ext uri="{FF2B5EF4-FFF2-40B4-BE49-F238E27FC236}">
                  <a16:creationId xmlns:a16="http://schemas.microsoft.com/office/drawing/2014/main" id="{00000000-0008-0000-0800-00003D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33</xdr:row>
          <xdr:rowOff>76200</xdr:rowOff>
        </xdr:from>
        <xdr:to>
          <xdr:col>6</xdr:col>
          <xdr:colOff>1638300</xdr:colOff>
          <xdr:row>33</xdr:row>
          <xdr:rowOff>304800</xdr:rowOff>
        </xdr:to>
        <xdr:sp macro="" textlink="">
          <xdr:nvSpPr>
            <xdr:cNvPr id="169022" name="Drop Down 62" hidden="1">
              <a:extLst>
                <a:ext uri="{63B3BB69-23CF-44E3-9099-C40C66FF867C}">
                  <a14:compatExt spid="_x0000_s169022"/>
                </a:ext>
                <a:ext uri="{FF2B5EF4-FFF2-40B4-BE49-F238E27FC236}">
                  <a16:creationId xmlns:a16="http://schemas.microsoft.com/office/drawing/2014/main" id="{00000000-0008-0000-0800-00003E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34</xdr:row>
          <xdr:rowOff>76200</xdr:rowOff>
        </xdr:from>
        <xdr:to>
          <xdr:col>6</xdr:col>
          <xdr:colOff>1638300</xdr:colOff>
          <xdr:row>34</xdr:row>
          <xdr:rowOff>304800</xdr:rowOff>
        </xdr:to>
        <xdr:sp macro="" textlink="">
          <xdr:nvSpPr>
            <xdr:cNvPr id="169023" name="Drop Down 63" hidden="1">
              <a:extLst>
                <a:ext uri="{63B3BB69-23CF-44E3-9099-C40C66FF867C}">
                  <a14:compatExt spid="_x0000_s169023"/>
                </a:ext>
                <a:ext uri="{FF2B5EF4-FFF2-40B4-BE49-F238E27FC236}">
                  <a16:creationId xmlns:a16="http://schemas.microsoft.com/office/drawing/2014/main" id="{00000000-0008-0000-0800-00003F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35</xdr:row>
          <xdr:rowOff>76200</xdr:rowOff>
        </xdr:from>
        <xdr:to>
          <xdr:col>6</xdr:col>
          <xdr:colOff>1638300</xdr:colOff>
          <xdr:row>35</xdr:row>
          <xdr:rowOff>304800</xdr:rowOff>
        </xdr:to>
        <xdr:sp macro="" textlink="">
          <xdr:nvSpPr>
            <xdr:cNvPr id="169024" name="Drop Down 64" hidden="1">
              <a:extLst>
                <a:ext uri="{63B3BB69-23CF-44E3-9099-C40C66FF867C}">
                  <a14:compatExt spid="_x0000_s169024"/>
                </a:ext>
                <a:ext uri="{FF2B5EF4-FFF2-40B4-BE49-F238E27FC236}">
                  <a16:creationId xmlns:a16="http://schemas.microsoft.com/office/drawing/2014/main" id="{00000000-0008-0000-0800-0000409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9.emf"/><Relationship Id="rId3" Type="http://schemas.openxmlformats.org/officeDocument/2006/relationships/vmlDrawing" Target="../drawings/vmlDrawing2.vml"/><Relationship Id="rId7" Type="http://schemas.openxmlformats.org/officeDocument/2006/relationships/image" Target="../media/image6.emf"/><Relationship Id="rId12" Type="http://schemas.openxmlformats.org/officeDocument/2006/relationships/control" Target="../activeX/activeX5.xml"/><Relationship Id="rId2" Type="http://schemas.openxmlformats.org/officeDocument/2006/relationships/drawing" Target="../drawings/drawing4.xml"/><Relationship Id="rId16" Type="http://schemas.openxmlformats.org/officeDocument/2006/relationships/ctrlProp" Target="../ctrlProps/ctrlProp4.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8.emf"/><Relationship Id="rId5" Type="http://schemas.openxmlformats.org/officeDocument/2006/relationships/image" Target="../media/image5.emf"/><Relationship Id="rId15" Type="http://schemas.openxmlformats.org/officeDocument/2006/relationships/image" Target="../media/image10.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7.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7.xml"/><Relationship Id="rId117" Type="http://schemas.openxmlformats.org/officeDocument/2006/relationships/ctrlProp" Target="../ctrlProps/ctrlProp118.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12" Type="http://schemas.openxmlformats.org/officeDocument/2006/relationships/ctrlProp" Target="../ctrlProps/ctrlProp113.xml"/><Relationship Id="rId16" Type="http://schemas.openxmlformats.org/officeDocument/2006/relationships/ctrlProp" Target="../ctrlProps/ctrlProp17.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102" Type="http://schemas.openxmlformats.org/officeDocument/2006/relationships/ctrlProp" Target="../ctrlProps/ctrlProp103.xml"/><Relationship Id="rId123" Type="http://schemas.openxmlformats.org/officeDocument/2006/relationships/ctrlProp" Target="../ctrlProps/ctrlProp124.xml"/><Relationship Id="rId5" Type="http://schemas.openxmlformats.org/officeDocument/2006/relationships/ctrlProp" Target="../ctrlProps/ctrlProp6.xml"/><Relationship Id="rId61" Type="http://schemas.openxmlformats.org/officeDocument/2006/relationships/ctrlProp" Target="../ctrlProps/ctrlProp62.xml"/><Relationship Id="rId82" Type="http://schemas.openxmlformats.org/officeDocument/2006/relationships/ctrlProp" Target="../ctrlProps/ctrlProp83.xml"/><Relationship Id="rId90" Type="http://schemas.openxmlformats.org/officeDocument/2006/relationships/ctrlProp" Target="../ctrlProps/ctrlProp91.xml"/><Relationship Id="rId95" Type="http://schemas.openxmlformats.org/officeDocument/2006/relationships/ctrlProp" Target="../ctrlProps/ctrlProp96.xml"/><Relationship Id="rId19" Type="http://schemas.openxmlformats.org/officeDocument/2006/relationships/ctrlProp" Target="../ctrlProps/ctrlProp2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trlProp" Target="../ctrlProps/ctrlProp44.xml"/><Relationship Id="rId48" Type="http://schemas.openxmlformats.org/officeDocument/2006/relationships/ctrlProp" Target="../ctrlProps/ctrlProp49.xml"/><Relationship Id="rId56" Type="http://schemas.openxmlformats.org/officeDocument/2006/relationships/ctrlProp" Target="../ctrlProps/ctrlProp57.xml"/><Relationship Id="rId64" Type="http://schemas.openxmlformats.org/officeDocument/2006/relationships/ctrlProp" Target="../ctrlProps/ctrlProp65.xml"/><Relationship Id="rId69" Type="http://schemas.openxmlformats.org/officeDocument/2006/relationships/ctrlProp" Target="../ctrlProps/ctrlProp70.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113" Type="http://schemas.openxmlformats.org/officeDocument/2006/relationships/ctrlProp" Target="../ctrlProps/ctrlProp114.xml"/><Relationship Id="rId118" Type="http://schemas.openxmlformats.org/officeDocument/2006/relationships/ctrlProp" Target="../ctrlProps/ctrlProp119.xml"/><Relationship Id="rId126" Type="http://schemas.openxmlformats.org/officeDocument/2006/relationships/ctrlProp" Target="../ctrlProps/ctrlProp127.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80" Type="http://schemas.openxmlformats.org/officeDocument/2006/relationships/ctrlProp" Target="../ctrlProps/ctrlProp81.xml"/><Relationship Id="rId85" Type="http://schemas.openxmlformats.org/officeDocument/2006/relationships/ctrlProp" Target="../ctrlProps/ctrlProp86.xml"/><Relationship Id="rId93" Type="http://schemas.openxmlformats.org/officeDocument/2006/relationships/ctrlProp" Target="../ctrlProps/ctrlProp94.xml"/><Relationship Id="rId98" Type="http://schemas.openxmlformats.org/officeDocument/2006/relationships/ctrlProp" Target="../ctrlProps/ctrlProp99.xml"/><Relationship Id="rId121" Type="http://schemas.openxmlformats.org/officeDocument/2006/relationships/ctrlProp" Target="../ctrlProps/ctrlProp122.xml"/><Relationship Id="rId3" Type="http://schemas.openxmlformats.org/officeDocument/2006/relationships/vmlDrawing" Target="../drawings/vmlDrawing3.v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46" Type="http://schemas.openxmlformats.org/officeDocument/2006/relationships/ctrlProp" Target="../ctrlProps/ctrlProp47.xml"/><Relationship Id="rId59" Type="http://schemas.openxmlformats.org/officeDocument/2006/relationships/ctrlProp" Target="../ctrlProps/ctrlProp60.xml"/><Relationship Id="rId67" Type="http://schemas.openxmlformats.org/officeDocument/2006/relationships/ctrlProp" Target="../ctrlProps/ctrlProp68.xml"/><Relationship Id="rId103" Type="http://schemas.openxmlformats.org/officeDocument/2006/relationships/ctrlProp" Target="../ctrlProps/ctrlProp104.xml"/><Relationship Id="rId108" Type="http://schemas.openxmlformats.org/officeDocument/2006/relationships/ctrlProp" Target="../ctrlProps/ctrlProp109.xml"/><Relationship Id="rId116" Type="http://schemas.openxmlformats.org/officeDocument/2006/relationships/ctrlProp" Target="../ctrlProps/ctrlProp117.xml"/><Relationship Id="rId124" Type="http://schemas.openxmlformats.org/officeDocument/2006/relationships/ctrlProp" Target="../ctrlProps/ctrlProp125.xml"/><Relationship Id="rId20" Type="http://schemas.openxmlformats.org/officeDocument/2006/relationships/ctrlProp" Target="../ctrlProps/ctrlProp21.xml"/><Relationship Id="rId41" Type="http://schemas.openxmlformats.org/officeDocument/2006/relationships/ctrlProp" Target="../ctrlProps/ctrlProp42.xml"/><Relationship Id="rId54" Type="http://schemas.openxmlformats.org/officeDocument/2006/relationships/ctrlProp" Target="../ctrlProps/ctrlProp55.xml"/><Relationship Id="rId62" Type="http://schemas.openxmlformats.org/officeDocument/2006/relationships/ctrlProp" Target="../ctrlProps/ctrlProp63.xml"/><Relationship Id="rId70" Type="http://schemas.openxmlformats.org/officeDocument/2006/relationships/ctrlProp" Target="../ctrlProps/ctrlProp71.xml"/><Relationship Id="rId75" Type="http://schemas.openxmlformats.org/officeDocument/2006/relationships/ctrlProp" Target="../ctrlProps/ctrlProp76.xml"/><Relationship Id="rId83" Type="http://schemas.openxmlformats.org/officeDocument/2006/relationships/ctrlProp" Target="../ctrlProps/ctrlProp84.xml"/><Relationship Id="rId88" Type="http://schemas.openxmlformats.org/officeDocument/2006/relationships/ctrlProp" Target="../ctrlProps/ctrlProp89.xml"/><Relationship Id="rId91" Type="http://schemas.openxmlformats.org/officeDocument/2006/relationships/ctrlProp" Target="../ctrlProps/ctrlProp92.xml"/><Relationship Id="rId96" Type="http://schemas.openxmlformats.org/officeDocument/2006/relationships/ctrlProp" Target="../ctrlProps/ctrlProp97.xml"/><Relationship Id="rId111" Type="http://schemas.openxmlformats.org/officeDocument/2006/relationships/ctrlProp" Target="../ctrlProps/ctrlProp11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6" Type="http://schemas.openxmlformats.org/officeDocument/2006/relationships/ctrlProp" Target="../ctrlProps/ctrlProp107.xml"/><Relationship Id="rId114" Type="http://schemas.openxmlformats.org/officeDocument/2006/relationships/ctrlProp" Target="../ctrlProps/ctrlProp115.xml"/><Relationship Id="rId119" Type="http://schemas.openxmlformats.org/officeDocument/2006/relationships/ctrlProp" Target="../ctrlProps/ctrlProp120.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122" Type="http://schemas.openxmlformats.org/officeDocument/2006/relationships/ctrlProp" Target="../ctrlProps/ctrlProp123.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120" Type="http://schemas.openxmlformats.org/officeDocument/2006/relationships/ctrlProp" Target="../ctrlProps/ctrlProp121.xml"/><Relationship Id="rId125" Type="http://schemas.openxmlformats.org/officeDocument/2006/relationships/ctrlProp" Target="../ctrlProps/ctrlProp126.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5.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115"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2.xml"/><Relationship Id="rId13" Type="http://schemas.openxmlformats.org/officeDocument/2006/relationships/ctrlProp" Target="../ctrlProps/ctrlProp137.xml"/><Relationship Id="rId18" Type="http://schemas.openxmlformats.org/officeDocument/2006/relationships/ctrlProp" Target="../ctrlProps/ctrlProp142.xml"/><Relationship Id="rId26" Type="http://schemas.openxmlformats.org/officeDocument/2006/relationships/ctrlProp" Target="../ctrlProps/ctrlProp150.xml"/><Relationship Id="rId39" Type="http://schemas.openxmlformats.org/officeDocument/2006/relationships/ctrlProp" Target="../ctrlProps/ctrlProp163.xml"/><Relationship Id="rId3" Type="http://schemas.openxmlformats.org/officeDocument/2006/relationships/vmlDrawing" Target="../drawings/vmlDrawing4.vml"/><Relationship Id="rId21" Type="http://schemas.openxmlformats.org/officeDocument/2006/relationships/ctrlProp" Target="../ctrlProps/ctrlProp145.xml"/><Relationship Id="rId34" Type="http://schemas.openxmlformats.org/officeDocument/2006/relationships/ctrlProp" Target="../ctrlProps/ctrlProp158.xml"/><Relationship Id="rId42" Type="http://schemas.openxmlformats.org/officeDocument/2006/relationships/ctrlProp" Target="../ctrlProps/ctrlProp166.xml"/><Relationship Id="rId47" Type="http://schemas.openxmlformats.org/officeDocument/2006/relationships/ctrlProp" Target="../ctrlProps/ctrlProp171.xml"/><Relationship Id="rId7" Type="http://schemas.openxmlformats.org/officeDocument/2006/relationships/ctrlProp" Target="../ctrlProps/ctrlProp131.xml"/><Relationship Id="rId12" Type="http://schemas.openxmlformats.org/officeDocument/2006/relationships/ctrlProp" Target="../ctrlProps/ctrlProp136.xml"/><Relationship Id="rId17" Type="http://schemas.openxmlformats.org/officeDocument/2006/relationships/ctrlProp" Target="../ctrlProps/ctrlProp141.xml"/><Relationship Id="rId25" Type="http://schemas.openxmlformats.org/officeDocument/2006/relationships/ctrlProp" Target="../ctrlProps/ctrlProp149.xml"/><Relationship Id="rId33" Type="http://schemas.openxmlformats.org/officeDocument/2006/relationships/ctrlProp" Target="../ctrlProps/ctrlProp157.xml"/><Relationship Id="rId38" Type="http://schemas.openxmlformats.org/officeDocument/2006/relationships/ctrlProp" Target="../ctrlProps/ctrlProp162.xml"/><Relationship Id="rId46" Type="http://schemas.openxmlformats.org/officeDocument/2006/relationships/ctrlProp" Target="../ctrlProps/ctrlProp170.xml"/><Relationship Id="rId2" Type="http://schemas.openxmlformats.org/officeDocument/2006/relationships/drawing" Target="../drawings/drawing7.xml"/><Relationship Id="rId16" Type="http://schemas.openxmlformats.org/officeDocument/2006/relationships/ctrlProp" Target="../ctrlProps/ctrlProp140.xml"/><Relationship Id="rId20" Type="http://schemas.openxmlformats.org/officeDocument/2006/relationships/ctrlProp" Target="../ctrlProps/ctrlProp144.xml"/><Relationship Id="rId29" Type="http://schemas.openxmlformats.org/officeDocument/2006/relationships/ctrlProp" Target="../ctrlProps/ctrlProp153.xml"/><Relationship Id="rId41" Type="http://schemas.openxmlformats.org/officeDocument/2006/relationships/ctrlProp" Target="../ctrlProps/ctrlProp165.xml"/><Relationship Id="rId1" Type="http://schemas.openxmlformats.org/officeDocument/2006/relationships/printerSettings" Target="../printerSettings/printerSettings7.bin"/><Relationship Id="rId6" Type="http://schemas.openxmlformats.org/officeDocument/2006/relationships/ctrlProp" Target="../ctrlProps/ctrlProp130.xml"/><Relationship Id="rId11" Type="http://schemas.openxmlformats.org/officeDocument/2006/relationships/ctrlProp" Target="../ctrlProps/ctrlProp135.xml"/><Relationship Id="rId24" Type="http://schemas.openxmlformats.org/officeDocument/2006/relationships/ctrlProp" Target="../ctrlProps/ctrlProp148.xml"/><Relationship Id="rId32" Type="http://schemas.openxmlformats.org/officeDocument/2006/relationships/ctrlProp" Target="../ctrlProps/ctrlProp156.xml"/><Relationship Id="rId37" Type="http://schemas.openxmlformats.org/officeDocument/2006/relationships/ctrlProp" Target="../ctrlProps/ctrlProp161.xml"/><Relationship Id="rId40" Type="http://schemas.openxmlformats.org/officeDocument/2006/relationships/ctrlProp" Target="../ctrlProps/ctrlProp164.xml"/><Relationship Id="rId45" Type="http://schemas.openxmlformats.org/officeDocument/2006/relationships/ctrlProp" Target="../ctrlProps/ctrlProp169.xml"/><Relationship Id="rId5" Type="http://schemas.openxmlformats.org/officeDocument/2006/relationships/ctrlProp" Target="../ctrlProps/ctrlProp129.xml"/><Relationship Id="rId15" Type="http://schemas.openxmlformats.org/officeDocument/2006/relationships/ctrlProp" Target="../ctrlProps/ctrlProp139.xml"/><Relationship Id="rId23" Type="http://schemas.openxmlformats.org/officeDocument/2006/relationships/ctrlProp" Target="../ctrlProps/ctrlProp147.xml"/><Relationship Id="rId28" Type="http://schemas.openxmlformats.org/officeDocument/2006/relationships/ctrlProp" Target="../ctrlProps/ctrlProp152.xml"/><Relationship Id="rId36" Type="http://schemas.openxmlformats.org/officeDocument/2006/relationships/ctrlProp" Target="../ctrlProps/ctrlProp160.xml"/><Relationship Id="rId10" Type="http://schemas.openxmlformats.org/officeDocument/2006/relationships/ctrlProp" Target="../ctrlProps/ctrlProp134.xml"/><Relationship Id="rId19" Type="http://schemas.openxmlformats.org/officeDocument/2006/relationships/ctrlProp" Target="../ctrlProps/ctrlProp143.xml"/><Relationship Id="rId31" Type="http://schemas.openxmlformats.org/officeDocument/2006/relationships/ctrlProp" Target="../ctrlProps/ctrlProp155.xml"/><Relationship Id="rId44" Type="http://schemas.openxmlformats.org/officeDocument/2006/relationships/ctrlProp" Target="../ctrlProps/ctrlProp168.xml"/><Relationship Id="rId4" Type="http://schemas.openxmlformats.org/officeDocument/2006/relationships/ctrlProp" Target="../ctrlProps/ctrlProp128.xml"/><Relationship Id="rId9" Type="http://schemas.openxmlformats.org/officeDocument/2006/relationships/ctrlProp" Target="../ctrlProps/ctrlProp133.xml"/><Relationship Id="rId14" Type="http://schemas.openxmlformats.org/officeDocument/2006/relationships/ctrlProp" Target="../ctrlProps/ctrlProp138.xml"/><Relationship Id="rId22" Type="http://schemas.openxmlformats.org/officeDocument/2006/relationships/ctrlProp" Target="../ctrlProps/ctrlProp146.xml"/><Relationship Id="rId27" Type="http://schemas.openxmlformats.org/officeDocument/2006/relationships/ctrlProp" Target="../ctrlProps/ctrlProp151.xml"/><Relationship Id="rId30" Type="http://schemas.openxmlformats.org/officeDocument/2006/relationships/ctrlProp" Target="../ctrlProps/ctrlProp154.xml"/><Relationship Id="rId35" Type="http://schemas.openxmlformats.org/officeDocument/2006/relationships/ctrlProp" Target="../ctrlProps/ctrlProp159.xml"/><Relationship Id="rId43" Type="http://schemas.openxmlformats.org/officeDocument/2006/relationships/ctrlProp" Target="../ctrlProps/ctrlProp167.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81.xml"/><Relationship Id="rId18" Type="http://schemas.openxmlformats.org/officeDocument/2006/relationships/ctrlProp" Target="../ctrlProps/ctrlProp186.xml"/><Relationship Id="rId26" Type="http://schemas.openxmlformats.org/officeDocument/2006/relationships/ctrlProp" Target="../ctrlProps/ctrlProp194.xml"/><Relationship Id="rId39" Type="http://schemas.openxmlformats.org/officeDocument/2006/relationships/ctrlProp" Target="../ctrlProps/ctrlProp207.xml"/><Relationship Id="rId21" Type="http://schemas.openxmlformats.org/officeDocument/2006/relationships/ctrlProp" Target="../ctrlProps/ctrlProp189.xml"/><Relationship Id="rId34" Type="http://schemas.openxmlformats.org/officeDocument/2006/relationships/ctrlProp" Target="../ctrlProps/ctrlProp202.xml"/><Relationship Id="rId42" Type="http://schemas.openxmlformats.org/officeDocument/2006/relationships/ctrlProp" Target="../ctrlProps/ctrlProp210.xml"/><Relationship Id="rId47" Type="http://schemas.openxmlformats.org/officeDocument/2006/relationships/ctrlProp" Target="../ctrlProps/ctrlProp215.xml"/><Relationship Id="rId50" Type="http://schemas.openxmlformats.org/officeDocument/2006/relationships/ctrlProp" Target="../ctrlProps/ctrlProp218.xml"/><Relationship Id="rId55" Type="http://schemas.openxmlformats.org/officeDocument/2006/relationships/ctrlProp" Target="../ctrlProps/ctrlProp223.xml"/><Relationship Id="rId63" Type="http://schemas.openxmlformats.org/officeDocument/2006/relationships/ctrlProp" Target="../ctrlProps/ctrlProp231.xml"/><Relationship Id="rId7" Type="http://schemas.openxmlformats.org/officeDocument/2006/relationships/ctrlProp" Target="../ctrlProps/ctrlProp175.xml"/><Relationship Id="rId2" Type="http://schemas.openxmlformats.org/officeDocument/2006/relationships/drawing" Target="../drawings/drawing8.xml"/><Relationship Id="rId16" Type="http://schemas.openxmlformats.org/officeDocument/2006/relationships/ctrlProp" Target="../ctrlProps/ctrlProp184.xml"/><Relationship Id="rId20" Type="http://schemas.openxmlformats.org/officeDocument/2006/relationships/ctrlProp" Target="../ctrlProps/ctrlProp188.xml"/><Relationship Id="rId29" Type="http://schemas.openxmlformats.org/officeDocument/2006/relationships/ctrlProp" Target="../ctrlProps/ctrlProp197.xml"/><Relationship Id="rId41" Type="http://schemas.openxmlformats.org/officeDocument/2006/relationships/ctrlProp" Target="../ctrlProps/ctrlProp209.xml"/><Relationship Id="rId54" Type="http://schemas.openxmlformats.org/officeDocument/2006/relationships/ctrlProp" Target="../ctrlProps/ctrlProp222.xml"/><Relationship Id="rId62" Type="http://schemas.openxmlformats.org/officeDocument/2006/relationships/ctrlProp" Target="../ctrlProps/ctrlProp230.xml"/><Relationship Id="rId1" Type="http://schemas.openxmlformats.org/officeDocument/2006/relationships/printerSettings" Target="../printerSettings/printerSettings8.bin"/><Relationship Id="rId6" Type="http://schemas.openxmlformats.org/officeDocument/2006/relationships/ctrlProp" Target="../ctrlProps/ctrlProp174.xml"/><Relationship Id="rId11" Type="http://schemas.openxmlformats.org/officeDocument/2006/relationships/ctrlProp" Target="../ctrlProps/ctrlProp179.xml"/><Relationship Id="rId24" Type="http://schemas.openxmlformats.org/officeDocument/2006/relationships/ctrlProp" Target="../ctrlProps/ctrlProp192.xml"/><Relationship Id="rId32" Type="http://schemas.openxmlformats.org/officeDocument/2006/relationships/ctrlProp" Target="../ctrlProps/ctrlProp200.xml"/><Relationship Id="rId37" Type="http://schemas.openxmlformats.org/officeDocument/2006/relationships/ctrlProp" Target="../ctrlProps/ctrlProp205.xml"/><Relationship Id="rId40" Type="http://schemas.openxmlformats.org/officeDocument/2006/relationships/ctrlProp" Target="../ctrlProps/ctrlProp208.xml"/><Relationship Id="rId45" Type="http://schemas.openxmlformats.org/officeDocument/2006/relationships/ctrlProp" Target="../ctrlProps/ctrlProp213.xml"/><Relationship Id="rId53" Type="http://schemas.openxmlformats.org/officeDocument/2006/relationships/ctrlProp" Target="../ctrlProps/ctrlProp221.xml"/><Relationship Id="rId58" Type="http://schemas.openxmlformats.org/officeDocument/2006/relationships/ctrlProp" Target="../ctrlProps/ctrlProp226.xml"/><Relationship Id="rId5" Type="http://schemas.openxmlformats.org/officeDocument/2006/relationships/ctrlProp" Target="../ctrlProps/ctrlProp173.xml"/><Relationship Id="rId15" Type="http://schemas.openxmlformats.org/officeDocument/2006/relationships/ctrlProp" Target="../ctrlProps/ctrlProp183.xml"/><Relationship Id="rId23" Type="http://schemas.openxmlformats.org/officeDocument/2006/relationships/ctrlProp" Target="../ctrlProps/ctrlProp191.xml"/><Relationship Id="rId28" Type="http://schemas.openxmlformats.org/officeDocument/2006/relationships/ctrlProp" Target="../ctrlProps/ctrlProp196.xml"/><Relationship Id="rId36" Type="http://schemas.openxmlformats.org/officeDocument/2006/relationships/ctrlProp" Target="../ctrlProps/ctrlProp204.xml"/><Relationship Id="rId49" Type="http://schemas.openxmlformats.org/officeDocument/2006/relationships/ctrlProp" Target="../ctrlProps/ctrlProp217.xml"/><Relationship Id="rId57" Type="http://schemas.openxmlformats.org/officeDocument/2006/relationships/ctrlProp" Target="../ctrlProps/ctrlProp225.xml"/><Relationship Id="rId61" Type="http://schemas.openxmlformats.org/officeDocument/2006/relationships/ctrlProp" Target="../ctrlProps/ctrlProp229.xml"/><Relationship Id="rId10" Type="http://schemas.openxmlformats.org/officeDocument/2006/relationships/ctrlProp" Target="../ctrlProps/ctrlProp178.xml"/><Relationship Id="rId19" Type="http://schemas.openxmlformats.org/officeDocument/2006/relationships/ctrlProp" Target="../ctrlProps/ctrlProp187.xml"/><Relationship Id="rId31" Type="http://schemas.openxmlformats.org/officeDocument/2006/relationships/ctrlProp" Target="../ctrlProps/ctrlProp199.xml"/><Relationship Id="rId44" Type="http://schemas.openxmlformats.org/officeDocument/2006/relationships/ctrlProp" Target="../ctrlProps/ctrlProp212.xml"/><Relationship Id="rId52" Type="http://schemas.openxmlformats.org/officeDocument/2006/relationships/ctrlProp" Target="../ctrlProps/ctrlProp220.xml"/><Relationship Id="rId60" Type="http://schemas.openxmlformats.org/officeDocument/2006/relationships/ctrlProp" Target="../ctrlProps/ctrlProp228.xml"/><Relationship Id="rId4" Type="http://schemas.openxmlformats.org/officeDocument/2006/relationships/ctrlProp" Target="../ctrlProps/ctrlProp172.xml"/><Relationship Id="rId9" Type="http://schemas.openxmlformats.org/officeDocument/2006/relationships/ctrlProp" Target="../ctrlProps/ctrlProp177.xml"/><Relationship Id="rId14" Type="http://schemas.openxmlformats.org/officeDocument/2006/relationships/ctrlProp" Target="../ctrlProps/ctrlProp182.xml"/><Relationship Id="rId22" Type="http://schemas.openxmlformats.org/officeDocument/2006/relationships/ctrlProp" Target="../ctrlProps/ctrlProp190.xml"/><Relationship Id="rId27" Type="http://schemas.openxmlformats.org/officeDocument/2006/relationships/ctrlProp" Target="../ctrlProps/ctrlProp195.xml"/><Relationship Id="rId30" Type="http://schemas.openxmlformats.org/officeDocument/2006/relationships/ctrlProp" Target="../ctrlProps/ctrlProp198.xml"/><Relationship Id="rId35" Type="http://schemas.openxmlformats.org/officeDocument/2006/relationships/ctrlProp" Target="../ctrlProps/ctrlProp203.xml"/><Relationship Id="rId43" Type="http://schemas.openxmlformats.org/officeDocument/2006/relationships/ctrlProp" Target="../ctrlProps/ctrlProp211.xml"/><Relationship Id="rId48" Type="http://schemas.openxmlformats.org/officeDocument/2006/relationships/ctrlProp" Target="../ctrlProps/ctrlProp216.xml"/><Relationship Id="rId56" Type="http://schemas.openxmlformats.org/officeDocument/2006/relationships/ctrlProp" Target="../ctrlProps/ctrlProp224.xml"/><Relationship Id="rId8" Type="http://schemas.openxmlformats.org/officeDocument/2006/relationships/ctrlProp" Target="../ctrlProps/ctrlProp176.xml"/><Relationship Id="rId51" Type="http://schemas.openxmlformats.org/officeDocument/2006/relationships/ctrlProp" Target="../ctrlProps/ctrlProp219.xml"/><Relationship Id="rId3" Type="http://schemas.openxmlformats.org/officeDocument/2006/relationships/vmlDrawing" Target="../drawings/vmlDrawing5.vml"/><Relationship Id="rId12" Type="http://schemas.openxmlformats.org/officeDocument/2006/relationships/ctrlProp" Target="../ctrlProps/ctrlProp180.xml"/><Relationship Id="rId17" Type="http://schemas.openxmlformats.org/officeDocument/2006/relationships/ctrlProp" Target="../ctrlProps/ctrlProp185.xml"/><Relationship Id="rId25" Type="http://schemas.openxmlformats.org/officeDocument/2006/relationships/ctrlProp" Target="../ctrlProps/ctrlProp193.xml"/><Relationship Id="rId33" Type="http://schemas.openxmlformats.org/officeDocument/2006/relationships/ctrlProp" Target="../ctrlProps/ctrlProp201.xml"/><Relationship Id="rId38" Type="http://schemas.openxmlformats.org/officeDocument/2006/relationships/ctrlProp" Target="../ctrlProps/ctrlProp206.xml"/><Relationship Id="rId46" Type="http://schemas.openxmlformats.org/officeDocument/2006/relationships/ctrlProp" Target="../ctrlProps/ctrlProp214.xml"/><Relationship Id="rId59" Type="http://schemas.openxmlformats.org/officeDocument/2006/relationships/ctrlProp" Target="../ctrlProps/ctrlProp22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36.xml"/><Relationship Id="rId13" Type="http://schemas.openxmlformats.org/officeDocument/2006/relationships/ctrlProp" Target="../ctrlProps/ctrlProp241.xml"/><Relationship Id="rId18" Type="http://schemas.openxmlformats.org/officeDocument/2006/relationships/ctrlProp" Target="../ctrlProps/ctrlProp246.xml"/><Relationship Id="rId3" Type="http://schemas.openxmlformats.org/officeDocument/2006/relationships/vmlDrawing" Target="../drawings/vmlDrawing6.vml"/><Relationship Id="rId21" Type="http://schemas.openxmlformats.org/officeDocument/2006/relationships/ctrlProp" Target="../ctrlProps/ctrlProp249.xml"/><Relationship Id="rId7" Type="http://schemas.openxmlformats.org/officeDocument/2006/relationships/ctrlProp" Target="../ctrlProps/ctrlProp235.xml"/><Relationship Id="rId12" Type="http://schemas.openxmlformats.org/officeDocument/2006/relationships/ctrlProp" Target="../ctrlProps/ctrlProp240.xml"/><Relationship Id="rId17" Type="http://schemas.openxmlformats.org/officeDocument/2006/relationships/ctrlProp" Target="../ctrlProps/ctrlProp245.xml"/><Relationship Id="rId2" Type="http://schemas.openxmlformats.org/officeDocument/2006/relationships/drawing" Target="../drawings/drawing9.xml"/><Relationship Id="rId16" Type="http://schemas.openxmlformats.org/officeDocument/2006/relationships/ctrlProp" Target="../ctrlProps/ctrlProp244.xml"/><Relationship Id="rId20" Type="http://schemas.openxmlformats.org/officeDocument/2006/relationships/ctrlProp" Target="../ctrlProps/ctrlProp248.xml"/><Relationship Id="rId1" Type="http://schemas.openxmlformats.org/officeDocument/2006/relationships/printerSettings" Target="../printerSettings/printerSettings9.bin"/><Relationship Id="rId6" Type="http://schemas.openxmlformats.org/officeDocument/2006/relationships/ctrlProp" Target="../ctrlProps/ctrlProp234.xml"/><Relationship Id="rId11" Type="http://schemas.openxmlformats.org/officeDocument/2006/relationships/ctrlProp" Target="../ctrlProps/ctrlProp239.xml"/><Relationship Id="rId5" Type="http://schemas.openxmlformats.org/officeDocument/2006/relationships/ctrlProp" Target="../ctrlProps/ctrlProp233.xml"/><Relationship Id="rId15" Type="http://schemas.openxmlformats.org/officeDocument/2006/relationships/ctrlProp" Target="../ctrlProps/ctrlProp243.xml"/><Relationship Id="rId10" Type="http://schemas.openxmlformats.org/officeDocument/2006/relationships/ctrlProp" Target="../ctrlProps/ctrlProp238.xml"/><Relationship Id="rId19" Type="http://schemas.openxmlformats.org/officeDocument/2006/relationships/ctrlProp" Target="../ctrlProps/ctrlProp247.xml"/><Relationship Id="rId4" Type="http://schemas.openxmlformats.org/officeDocument/2006/relationships/ctrlProp" Target="../ctrlProps/ctrlProp232.xml"/><Relationship Id="rId9" Type="http://schemas.openxmlformats.org/officeDocument/2006/relationships/ctrlProp" Target="../ctrlProps/ctrlProp237.xml"/><Relationship Id="rId14" Type="http://schemas.openxmlformats.org/officeDocument/2006/relationships/ctrlProp" Target="../ctrlProps/ctrlProp242.xml"/><Relationship Id="rId22" Type="http://schemas.openxmlformats.org/officeDocument/2006/relationships/ctrlProp" Target="../ctrlProps/ctrlProp2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theme="0" tint="-0.499984740745262"/>
    <pageSetUpPr autoPageBreaks="0" fitToPage="1"/>
  </sheetPr>
  <dimension ref="B2:P83"/>
  <sheetViews>
    <sheetView showGridLines="0" showRowColHeaders="0" tabSelected="1" zoomScaleNormal="100" workbookViewId="0"/>
  </sheetViews>
  <sheetFormatPr defaultColWidth="9.140625" defaultRowHeight="15" x14ac:dyDescent="0.25"/>
  <cols>
    <col min="1" max="14" width="9.140625" style="13"/>
    <col min="15" max="16" width="3.5703125" style="13" customWidth="1"/>
    <col min="17" max="16384" width="9.140625" style="13"/>
  </cols>
  <sheetData>
    <row r="2" spans="2:16" ht="15" customHeight="1" x14ac:dyDescent="0.25">
      <c r="D2" s="310" t="s">
        <v>142</v>
      </c>
      <c r="E2" s="310"/>
      <c r="F2" s="310"/>
      <c r="G2" s="310"/>
      <c r="H2" s="310"/>
      <c r="I2" s="310"/>
      <c r="J2" s="310"/>
      <c r="K2" s="310"/>
      <c r="L2" s="310"/>
      <c r="M2" s="121"/>
      <c r="N2" s="121"/>
      <c r="O2" s="121"/>
      <c r="P2" s="121"/>
    </row>
    <row r="3" spans="2:16" ht="15" customHeight="1" x14ac:dyDescent="0.25">
      <c r="D3" s="310"/>
      <c r="E3" s="310"/>
      <c r="F3" s="310"/>
      <c r="G3" s="310"/>
      <c r="H3" s="310"/>
      <c r="I3" s="310"/>
      <c r="J3" s="310"/>
      <c r="K3" s="310"/>
      <c r="L3" s="310"/>
      <c r="M3" s="121"/>
      <c r="N3" s="121"/>
      <c r="O3" s="121"/>
      <c r="P3" s="121"/>
    </row>
    <row r="4" spans="2:16" ht="15" customHeight="1" x14ac:dyDescent="0.25">
      <c r="D4" s="310"/>
      <c r="E4" s="310"/>
      <c r="F4" s="310"/>
      <c r="G4" s="310"/>
      <c r="H4" s="310"/>
      <c r="I4" s="310"/>
      <c r="J4" s="310"/>
      <c r="K4" s="310"/>
      <c r="L4" s="310"/>
      <c r="M4" s="121"/>
      <c r="N4" s="121"/>
      <c r="O4" s="121"/>
      <c r="P4" s="121"/>
    </row>
    <row r="5" spans="2:16" ht="15" customHeight="1" x14ac:dyDescent="0.25">
      <c r="D5" s="310"/>
      <c r="E5" s="310"/>
      <c r="F5" s="310"/>
      <c r="G5" s="310"/>
      <c r="H5" s="310"/>
      <c r="I5" s="310"/>
      <c r="J5" s="310"/>
      <c r="K5" s="310"/>
      <c r="L5" s="310"/>
      <c r="M5" s="121"/>
      <c r="N5" s="121"/>
      <c r="O5" s="121"/>
      <c r="P5" s="121"/>
    </row>
    <row r="8" spans="2:16" ht="19.5" x14ac:dyDescent="0.3">
      <c r="B8" s="14" t="s">
        <v>3</v>
      </c>
      <c r="C8" s="12"/>
    </row>
    <row r="9" spans="2:16" x14ac:dyDescent="0.25">
      <c r="B9" s="10"/>
    </row>
    <row r="10" spans="2:16" ht="17.25" x14ac:dyDescent="0.3">
      <c r="B10" s="11" t="s">
        <v>80</v>
      </c>
    </row>
    <row r="11" spans="2:16" ht="6.75" customHeight="1" x14ac:dyDescent="0.25"/>
    <row r="12" spans="2:16" ht="14.45" customHeight="1" x14ac:dyDescent="0.25">
      <c r="B12" s="309" t="s">
        <v>301</v>
      </c>
      <c r="C12" s="309"/>
      <c r="D12" s="309"/>
      <c r="E12" s="309"/>
      <c r="F12" s="309"/>
      <c r="G12" s="309"/>
      <c r="H12" s="309"/>
      <c r="I12" s="309"/>
      <c r="J12" s="309"/>
      <c r="K12" s="309"/>
      <c r="L12" s="309"/>
    </row>
    <row r="13" spans="2:16" x14ac:dyDescent="0.25">
      <c r="B13" s="309"/>
      <c r="C13" s="309"/>
      <c r="D13" s="309"/>
      <c r="E13" s="309"/>
      <c r="F13" s="309"/>
      <c r="G13" s="309"/>
      <c r="H13" s="309"/>
      <c r="I13" s="309"/>
      <c r="J13" s="309"/>
      <c r="K13" s="309"/>
      <c r="L13" s="309"/>
    </row>
    <row r="14" spans="2:16" x14ac:dyDescent="0.25">
      <c r="B14" s="309"/>
      <c r="C14" s="309"/>
      <c r="D14" s="309"/>
      <c r="E14" s="309"/>
      <c r="F14" s="309"/>
      <c r="G14" s="309"/>
      <c r="H14" s="309"/>
      <c r="I14" s="309"/>
      <c r="J14" s="309"/>
      <c r="K14" s="309"/>
      <c r="L14" s="309"/>
    </row>
    <row r="15" spans="2:16" x14ac:dyDescent="0.25">
      <c r="B15" s="309"/>
      <c r="C15" s="309"/>
      <c r="D15" s="309"/>
      <c r="E15" s="309"/>
      <c r="F15" s="309"/>
      <c r="G15" s="309"/>
      <c r="H15" s="309"/>
      <c r="I15" s="309"/>
      <c r="J15" s="309"/>
      <c r="K15" s="309"/>
      <c r="L15" s="309"/>
    </row>
    <row r="16" spans="2:16" ht="46.5" customHeight="1" x14ac:dyDescent="0.25">
      <c r="B16" s="309"/>
      <c r="C16" s="309"/>
      <c r="D16" s="309"/>
      <c r="E16" s="309"/>
      <c r="F16" s="309"/>
      <c r="G16" s="309"/>
      <c r="H16" s="309"/>
      <c r="I16" s="309"/>
      <c r="J16" s="309"/>
      <c r="K16" s="309"/>
      <c r="L16" s="309"/>
    </row>
    <row r="18" spans="2:12" ht="15" customHeight="1" x14ac:dyDescent="0.25">
      <c r="B18" s="309" t="s">
        <v>302</v>
      </c>
      <c r="C18" s="309"/>
      <c r="D18" s="309"/>
      <c r="E18" s="309"/>
      <c r="F18" s="309"/>
      <c r="G18" s="309"/>
      <c r="H18" s="309"/>
      <c r="I18" s="309"/>
      <c r="J18" s="309"/>
      <c r="K18" s="309"/>
      <c r="L18" s="309"/>
    </row>
    <row r="19" spans="2:12" x14ac:dyDescent="0.25">
      <c r="B19" s="309"/>
      <c r="C19" s="309"/>
      <c r="D19" s="309"/>
      <c r="E19" s="309"/>
      <c r="F19" s="309"/>
      <c r="G19" s="309"/>
      <c r="H19" s="309"/>
      <c r="I19" s="309"/>
      <c r="J19" s="309"/>
      <c r="K19" s="309"/>
      <c r="L19" s="309"/>
    </row>
    <row r="20" spans="2:12" x14ac:dyDescent="0.25">
      <c r="B20" s="309"/>
      <c r="C20" s="309"/>
      <c r="D20" s="309"/>
      <c r="E20" s="309"/>
      <c r="F20" s="309"/>
      <c r="G20" s="309"/>
      <c r="H20" s="309"/>
      <c r="I20" s="309"/>
      <c r="J20" s="309"/>
      <c r="K20" s="309"/>
      <c r="L20" s="309"/>
    </row>
    <row r="21" spans="2:12" ht="28.5" customHeight="1" x14ac:dyDescent="0.25">
      <c r="B21" s="309"/>
      <c r="C21" s="309"/>
      <c r="D21" s="309"/>
      <c r="E21" s="309"/>
      <c r="F21" s="309"/>
      <c r="G21" s="309"/>
      <c r="H21" s="309"/>
      <c r="I21" s="309"/>
      <c r="J21" s="309"/>
      <c r="K21" s="309"/>
      <c r="L21" s="309"/>
    </row>
    <row r="22" spans="2:12" ht="15" customHeight="1" x14ac:dyDescent="0.25">
      <c r="B22" s="309" t="s">
        <v>303</v>
      </c>
      <c r="C22" s="309"/>
      <c r="D22" s="309"/>
      <c r="E22" s="309"/>
      <c r="F22" s="309"/>
      <c r="G22" s="309"/>
      <c r="H22" s="309"/>
      <c r="I22" s="309"/>
      <c r="J22" s="309"/>
      <c r="K22" s="309"/>
      <c r="L22" s="309"/>
    </row>
    <row r="23" spans="2:12" x14ac:dyDescent="0.25">
      <c r="B23" s="309"/>
      <c r="C23" s="309"/>
      <c r="D23" s="309"/>
      <c r="E23" s="309"/>
      <c r="F23" s="309"/>
      <c r="G23" s="309"/>
      <c r="H23" s="309"/>
      <c r="I23" s="309"/>
      <c r="J23" s="309"/>
      <c r="K23" s="309"/>
      <c r="L23" s="309"/>
    </row>
    <row r="24" spans="2:12" x14ac:dyDescent="0.25">
      <c r="B24" s="309"/>
      <c r="C24" s="309"/>
      <c r="D24" s="309"/>
      <c r="E24" s="309"/>
      <c r="F24" s="309"/>
      <c r="G24" s="309"/>
      <c r="H24" s="309"/>
      <c r="I24" s="309"/>
      <c r="J24" s="309"/>
      <c r="K24" s="309"/>
      <c r="L24" s="309"/>
    </row>
    <row r="25" spans="2:12" ht="7.5" customHeight="1" x14ac:dyDescent="0.25">
      <c r="B25" s="93"/>
      <c r="C25" s="93"/>
      <c r="D25" s="93"/>
      <c r="E25" s="93"/>
      <c r="F25" s="93"/>
      <c r="G25" s="93"/>
      <c r="H25" s="93"/>
      <c r="I25" s="93"/>
      <c r="J25" s="93"/>
      <c r="K25" s="93"/>
      <c r="L25" s="93"/>
    </row>
    <row r="26" spans="2:12" x14ac:dyDescent="0.25">
      <c r="C26" s="185" t="s">
        <v>81</v>
      </c>
      <c r="D26" s="93"/>
      <c r="E26" s="93"/>
      <c r="F26" s="93"/>
      <c r="G26" s="93"/>
      <c r="H26" s="93"/>
      <c r="I26" s="93"/>
      <c r="J26" s="93"/>
      <c r="K26" s="93"/>
      <c r="L26" s="93"/>
    </row>
    <row r="27" spans="2:12" x14ac:dyDescent="0.25">
      <c r="B27" s="250"/>
      <c r="C27" s="185" t="s">
        <v>304</v>
      </c>
      <c r="D27" s="250"/>
      <c r="E27" s="250"/>
      <c r="F27" s="250"/>
      <c r="G27" s="250"/>
      <c r="H27" s="250"/>
      <c r="I27" s="250"/>
      <c r="J27" s="250"/>
      <c r="K27" s="250"/>
      <c r="L27" s="250"/>
    </row>
    <row r="28" spans="2:12" x14ac:dyDescent="0.25">
      <c r="B28" s="93"/>
      <c r="C28" s="93"/>
      <c r="D28" s="93"/>
      <c r="E28" s="93"/>
      <c r="F28" s="93"/>
      <c r="G28" s="93"/>
      <c r="H28" s="93"/>
      <c r="I28" s="93"/>
      <c r="J28" s="93"/>
      <c r="K28" s="93"/>
      <c r="L28" s="93"/>
    </row>
    <row r="29" spans="2:12" ht="15" customHeight="1" x14ac:dyDescent="0.25">
      <c r="B29" s="309" t="s">
        <v>313</v>
      </c>
      <c r="C29" s="309"/>
      <c r="D29" s="309"/>
      <c r="E29" s="309"/>
      <c r="F29" s="309"/>
      <c r="G29" s="309"/>
      <c r="H29" s="309"/>
      <c r="I29" s="309"/>
      <c r="J29" s="309"/>
      <c r="K29" s="309"/>
      <c r="L29" s="309"/>
    </row>
    <row r="30" spans="2:12" x14ac:dyDescent="0.25">
      <c r="B30" s="309"/>
      <c r="C30" s="309"/>
      <c r="D30" s="309"/>
      <c r="E30" s="309"/>
      <c r="F30" s="309"/>
      <c r="G30" s="309"/>
      <c r="H30" s="309"/>
      <c r="I30" s="309"/>
      <c r="J30" s="309"/>
      <c r="K30" s="309"/>
      <c r="L30" s="309"/>
    </row>
    <row r="31" spans="2:12" x14ac:dyDescent="0.25">
      <c r="B31" s="309"/>
      <c r="C31" s="309"/>
      <c r="D31" s="309"/>
      <c r="E31" s="309"/>
      <c r="F31" s="309"/>
      <c r="G31" s="309"/>
      <c r="H31" s="309"/>
      <c r="I31" s="309"/>
      <c r="J31" s="309"/>
      <c r="K31" s="309"/>
      <c r="L31" s="309"/>
    </row>
    <row r="32" spans="2:12" x14ac:dyDescent="0.25">
      <c r="B32" s="309"/>
      <c r="C32" s="309"/>
      <c r="D32" s="309"/>
      <c r="E32" s="309"/>
      <c r="F32" s="309"/>
      <c r="G32" s="309"/>
      <c r="H32" s="309"/>
      <c r="I32" s="309"/>
      <c r="J32" s="309"/>
      <c r="K32" s="309"/>
      <c r="L32" s="309"/>
    </row>
    <row r="33" spans="2:12" ht="18" customHeight="1" x14ac:dyDescent="0.25">
      <c r="B33" s="311" t="s">
        <v>305</v>
      </c>
      <c r="C33" s="311"/>
      <c r="D33" s="311"/>
      <c r="E33" s="311"/>
      <c r="F33" s="311"/>
      <c r="G33" s="311"/>
      <c r="H33" s="311"/>
      <c r="I33" s="311"/>
      <c r="J33" s="311"/>
      <c r="K33" s="311"/>
      <c r="L33" s="311"/>
    </row>
    <row r="34" spans="2:12" ht="9" customHeight="1" x14ac:dyDescent="0.25">
      <c r="B34" s="311"/>
      <c r="C34" s="311"/>
      <c r="D34" s="311"/>
      <c r="E34" s="311"/>
      <c r="F34" s="311"/>
      <c r="G34" s="311"/>
      <c r="H34" s="311"/>
      <c r="I34" s="311"/>
      <c r="J34" s="311"/>
      <c r="K34" s="311"/>
      <c r="L34" s="311"/>
    </row>
    <row r="35" spans="2:12" hidden="1" x14ac:dyDescent="0.25">
      <c r="B35" s="311"/>
      <c r="C35" s="311"/>
      <c r="D35" s="311"/>
      <c r="E35" s="311"/>
      <c r="F35" s="311"/>
      <c r="G35" s="311"/>
      <c r="H35" s="311"/>
      <c r="I35" s="311"/>
      <c r="J35" s="311"/>
      <c r="K35" s="311"/>
      <c r="L35" s="311"/>
    </row>
    <row r="36" spans="2:12" ht="24" customHeight="1" x14ac:dyDescent="0.25">
      <c r="B36" s="250"/>
      <c r="C36" s="185" t="s">
        <v>306</v>
      </c>
      <c r="D36" s="250"/>
      <c r="E36" s="250"/>
      <c r="F36" s="250"/>
      <c r="G36" s="250"/>
      <c r="H36" s="250"/>
      <c r="I36" s="250"/>
      <c r="J36" s="250"/>
      <c r="K36" s="250"/>
      <c r="L36" s="250"/>
    </row>
    <row r="37" spans="2:12" ht="20.25" customHeight="1" x14ac:dyDescent="0.25">
      <c r="C37" s="185" t="s">
        <v>359</v>
      </c>
      <c r="D37" s="250"/>
      <c r="E37" s="250"/>
      <c r="F37" s="250"/>
      <c r="G37" s="250"/>
      <c r="H37" s="250"/>
      <c r="I37" s="250"/>
      <c r="J37" s="250"/>
      <c r="K37" s="250"/>
      <c r="L37" s="250"/>
    </row>
    <row r="38" spans="2:12" ht="17.25" x14ac:dyDescent="0.3">
      <c r="B38" s="11" t="s">
        <v>90</v>
      </c>
    </row>
    <row r="39" spans="2:12" ht="6.75" customHeight="1" x14ac:dyDescent="0.25"/>
    <row r="40" spans="2:12" ht="14.45" customHeight="1" x14ac:dyDescent="0.25">
      <c r="B40" s="309" t="s">
        <v>307</v>
      </c>
      <c r="C40" s="309"/>
      <c r="D40" s="309"/>
      <c r="E40" s="309"/>
      <c r="F40" s="309"/>
      <c r="G40" s="309"/>
      <c r="H40" s="309"/>
      <c r="I40" s="309"/>
      <c r="J40" s="309"/>
      <c r="K40" s="309"/>
      <c r="L40" s="309"/>
    </row>
    <row r="41" spans="2:12" x14ac:dyDescent="0.25">
      <c r="B41" s="309"/>
      <c r="C41" s="309"/>
      <c r="D41" s="309"/>
      <c r="E41" s="309"/>
      <c r="F41" s="309"/>
      <c r="G41" s="309"/>
      <c r="H41" s="309"/>
      <c r="I41" s="309"/>
      <c r="J41" s="309"/>
      <c r="K41" s="309"/>
      <c r="L41" s="309"/>
    </row>
    <row r="42" spans="2:12" ht="51" customHeight="1" x14ac:dyDescent="0.25">
      <c r="B42" s="309"/>
      <c r="C42" s="309"/>
      <c r="D42" s="309"/>
      <c r="E42" s="309"/>
      <c r="F42" s="309"/>
      <c r="G42" s="309"/>
      <c r="H42" s="309"/>
      <c r="I42" s="309"/>
      <c r="J42" s="309"/>
      <c r="K42" s="309"/>
      <c r="L42" s="309"/>
    </row>
    <row r="46" spans="2:12" ht="253.5" customHeight="1" x14ac:dyDescent="0.25"/>
    <row r="58" spans="2:2" ht="24" customHeight="1" x14ac:dyDescent="0.25"/>
    <row r="59" spans="2:2" x14ac:dyDescent="0.25">
      <c r="B59" s="13" t="s">
        <v>91</v>
      </c>
    </row>
    <row r="61" spans="2:2" ht="17.25" x14ac:dyDescent="0.3">
      <c r="B61" s="11" t="s">
        <v>220</v>
      </c>
    </row>
    <row r="62" spans="2:2" ht="49.5" customHeight="1" x14ac:dyDescent="0.25"/>
    <row r="63" spans="2:2" x14ac:dyDescent="0.25">
      <c r="B63" s="13" t="s">
        <v>91</v>
      </c>
    </row>
    <row r="64" spans="2:2" ht="15" customHeight="1" x14ac:dyDescent="0.25"/>
    <row r="65" spans="2:12" ht="24" customHeight="1" x14ac:dyDescent="0.25">
      <c r="B65" s="251" t="s">
        <v>314</v>
      </c>
    </row>
    <row r="66" spans="2:12" ht="17.25" x14ac:dyDescent="0.3">
      <c r="B66" s="11" t="s">
        <v>4</v>
      </c>
    </row>
    <row r="67" spans="2:12" ht="6.75" customHeight="1" x14ac:dyDescent="0.25"/>
    <row r="68" spans="2:12" x14ac:dyDescent="0.25">
      <c r="B68" s="309" t="s">
        <v>92</v>
      </c>
      <c r="C68" s="309"/>
      <c r="D68" s="309"/>
      <c r="E68" s="309"/>
      <c r="F68" s="309"/>
      <c r="G68" s="309"/>
      <c r="H68" s="309"/>
      <c r="I68" s="309"/>
      <c r="J68" s="309"/>
      <c r="K68" s="309"/>
      <c r="L68" s="309"/>
    </row>
    <row r="69" spans="2:12" x14ac:dyDescent="0.25">
      <c r="B69" s="309"/>
      <c r="C69" s="309"/>
      <c r="D69" s="309"/>
      <c r="E69" s="309"/>
      <c r="F69" s="309"/>
      <c r="G69" s="309"/>
      <c r="H69" s="309"/>
      <c r="I69" s="309"/>
      <c r="J69" s="309"/>
      <c r="K69" s="309"/>
      <c r="L69" s="309"/>
    </row>
    <row r="71" spans="2:12" ht="17.25" x14ac:dyDescent="0.3">
      <c r="B71" s="11" t="s">
        <v>5</v>
      </c>
    </row>
    <row r="72" spans="2:12" ht="6.75" customHeight="1" x14ac:dyDescent="0.25"/>
    <row r="73" spans="2:12" ht="15" customHeight="1" x14ac:dyDescent="0.25">
      <c r="B73" s="309" t="s">
        <v>6</v>
      </c>
      <c r="C73" s="309"/>
      <c r="D73" s="309"/>
      <c r="E73" s="309"/>
      <c r="F73" s="309"/>
      <c r="G73" s="309"/>
      <c r="H73" s="309"/>
      <c r="I73" s="309"/>
      <c r="J73" s="309"/>
      <c r="K73" s="309"/>
      <c r="L73" s="309"/>
    </row>
    <row r="74" spans="2:12" x14ac:dyDescent="0.25">
      <c r="B74" s="309"/>
      <c r="C74" s="309"/>
      <c r="D74" s="309"/>
      <c r="E74" s="309"/>
      <c r="F74" s="309"/>
      <c r="G74" s="309"/>
      <c r="H74" s="309"/>
      <c r="I74" s="309"/>
      <c r="J74" s="309"/>
      <c r="K74" s="309"/>
      <c r="L74" s="309"/>
    </row>
    <row r="75" spans="2:12" x14ac:dyDescent="0.25">
      <c r="B75" s="93"/>
      <c r="C75" s="93"/>
      <c r="D75" s="93"/>
      <c r="E75" s="93"/>
      <c r="F75" s="93"/>
      <c r="G75" s="93"/>
      <c r="H75" s="93"/>
      <c r="I75" s="93"/>
      <c r="J75" s="93"/>
      <c r="K75" s="93"/>
      <c r="L75" s="93"/>
    </row>
    <row r="76" spans="2:12" ht="17.25" x14ac:dyDescent="0.3">
      <c r="B76" s="11" t="s">
        <v>88</v>
      </c>
    </row>
    <row r="77" spans="2:12" ht="6.75" customHeight="1" x14ac:dyDescent="0.25">
      <c r="B77" s="309"/>
      <c r="C77" s="309"/>
      <c r="D77" s="309"/>
      <c r="E77" s="309"/>
      <c r="F77" s="309"/>
      <c r="G77" s="309"/>
      <c r="H77" s="309"/>
      <c r="I77" s="309"/>
      <c r="J77" s="309"/>
      <c r="K77" s="309"/>
      <c r="L77" s="309"/>
    </row>
    <row r="78" spans="2:12" x14ac:dyDescent="0.25">
      <c r="B78" s="13" t="s">
        <v>89</v>
      </c>
    </row>
    <row r="81" spans="2:12" x14ac:dyDescent="0.25">
      <c r="B81" s="13" t="s">
        <v>93</v>
      </c>
    </row>
    <row r="82" spans="2:12" x14ac:dyDescent="0.25">
      <c r="B82" s="93"/>
      <c r="C82" s="93"/>
      <c r="D82" s="93"/>
      <c r="E82" s="93"/>
      <c r="F82" s="93"/>
      <c r="G82" s="93"/>
      <c r="H82" s="93"/>
      <c r="I82" s="93"/>
      <c r="J82" s="93"/>
      <c r="K82" s="93"/>
      <c r="L82" s="93"/>
    </row>
    <row r="83" spans="2:12" x14ac:dyDescent="0.25">
      <c r="B83" s="309"/>
      <c r="C83" s="309"/>
      <c r="D83" s="309"/>
      <c r="E83" s="309"/>
      <c r="F83" s="309"/>
      <c r="G83" s="309"/>
      <c r="H83" s="309"/>
      <c r="I83" s="309"/>
      <c r="J83" s="309"/>
      <c r="K83" s="309"/>
      <c r="L83" s="309"/>
    </row>
  </sheetData>
  <sheetProtection algorithmName="SHA-512" hashValue="S/yaSR8Ky9a7NTFN9FdRFMKXCicSV7e3hqhIaXysyBzWjhjItp4hlHwmlpJQVQSwgQHHTgBqRAsk43/LWk+bKQ==" saltValue="h4dP5SXdhSlDwa+5PAut/A==" spinCount="100000" sheet="1" objects="1" scenarios="1"/>
  <mergeCells count="11">
    <mergeCell ref="B83:L83"/>
    <mergeCell ref="D2:L5"/>
    <mergeCell ref="B40:L42"/>
    <mergeCell ref="B68:L69"/>
    <mergeCell ref="B73:L74"/>
    <mergeCell ref="B77:L77"/>
    <mergeCell ref="B12:L16"/>
    <mergeCell ref="B18:L21"/>
    <mergeCell ref="B22:L24"/>
    <mergeCell ref="B29:L32"/>
    <mergeCell ref="B33:L35"/>
  </mergeCells>
  <pageMargins left="0.7" right="0.7" top="0.75" bottom="0.75" header="0.3" footer="0.3"/>
  <pageSetup paperSize="9" scale="69" fitToHeight="0"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00B050"/>
    <pageSetUpPr autoPageBreaks="0" fitToPage="1"/>
  </sheetPr>
  <dimension ref="A2:AI76"/>
  <sheetViews>
    <sheetView showGridLines="0" showRowColHeaders="0" topLeftCell="D1" zoomScaleNormal="100" workbookViewId="0">
      <pane ySplit="7" topLeftCell="A8" activePane="bottomLeft" state="frozen"/>
      <selection activeCell="D1" sqref="D1"/>
      <selection pane="bottomLeft" activeCell="E10" sqref="E10"/>
    </sheetView>
  </sheetViews>
  <sheetFormatPr defaultColWidth="9.140625" defaultRowHeight="15" x14ac:dyDescent="0.25"/>
  <cols>
    <col min="1" max="1" width="9.28515625" style="171" hidden="1" customWidth="1"/>
    <col min="2" max="3" width="8.85546875" style="21" hidden="1" customWidth="1"/>
    <col min="4" max="4" width="6.28515625" style="152" customWidth="1"/>
    <col min="5" max="5" width="15.5703125" style="21" customWidth="1"/>
    <col min="6" max="6" width="67.42578125" style="21" customWidth="1"/>
    <col min="7" max="8" width="27" style="21" customWidth="1"/>
    <col min="9" max="9" width="41.7109375" style="88" customWidth="1"/>
    <col min="10" max="11" width="9.140625" style="21" customWidth="1"/>
    <col min="12" max="25" width="9.140625" style="21" hidden="1" customWidth="1"/>
    <col min="26" max="28" width="9.140625" style="21"/>
    <col min="29" max="35" width="9.140625" style="21" customWidth="1"/>
    <col min="36" max="16384" width="9.140625" style="21"/>
  </cols>
  <sheetData>
    <row r="2" spans="1:35" s="53" customFormat="1" ht="15" customHeight="1" x14ac:dyDescent="0.25">
      <c r="A2" s="171"/>
      <c r="B2" s="21"/>
      <c r="C2" s="21"/>
      <c r="D2" s="152"/>
      <c r="E2" s="21"/>
      <c r="F2" s="326" t="str">
        <f>"Results"&amp;IF(LEN(profile_name_of_organisation)=0,""," for "&amp;profile_name_of_organisation)</f>
        <v>Results</v>
      </c>
      <c r="G2" s="326"/>
      <c r="H2" s="326"/>
      <c r="I2" s="326"/>
      <c r="J2" s="114"/>
      <c r="K2" s="114"/>
      <c r="L2" s="114"/>
      <c r="M2" s="114"/>
      <c r="N2" s="114"/>
      <c r="O2" s="114"/>
      <c r="P2" s="114"/>
      <c r="Q2" s="114"/>
      <c r="R2" s="114"/>
      <c r="S2" s="114"/>
      <c r="T2" s="114"/>
      <c r="U2" s="114"/>
      <c r="V2" s="114"/>
      <c r="W2" s="114"/>
      <c r="X2" s="114"/>
    </row>
    <row r="3" spans="1:35" s="53" customFormat="1" ht="15" customHeight="1" x14ac:dyDescent="0.25">
      <c r="A3" s="171"/>
      <c r="B3" s="21"/>
      <c r="C3" s="21"/>
      <c r="D3" s="152"/>
      <c r="E3" s="21"/>
      <c r="F3" s="326"/>
      <c r="G3" s="326"/>
      <c r="H3" s="326"/>
      <c r="I3" s="326"/>
      <c r="J3" s="114"/>
      <c r="K3" s="114"/>
      <c r="L3" s="114"/>
      <c r="M3" s="114"/>
      <c r="N3" s="114"/>
      <c r="O3" s="114"/>
      <c r="P3" s="114"/>
      <c r="Q3" s="114"/>
      <c r="R3" s="114"/>
      <c r="S3" s="114"/>
      <c r="T3" s="114"/>
      <c r="U3" s="114"/>
      <c r="V3" s="114"/>
      <c r="W3" s="114"/>
      <c r="X3" s="114"/>
    </row>
    <row r="4" spans="1:35" s="53" customFormat="1" ht="15" customHeight="1" x14ac:dyDescent="0.25">
      <c r="A4" s="171"/>
      <c r="B4" s="21"/>
      <c r="C4" s="21"/>
      <c r="D4" s="152"/>
      <c r="E4" s="21"/>
      <c r="F4" s="327" t="str">
        <f ca="1">'Assess A'!F2</f>
        <v>Maturity model for Stage A - Preparation</v>
      </c>
      <c r="G4" s="327"/>
      <c r="H4" s="327"/>
      <c r="I4" s="327"/>
      <c r="J4" s="114"/>
      <c r="K4" s="114"/>
      <c r="L4" s="114"/>
      <c r="M4" s="114"/>
      <c r="N4" s="114"/>
      <c r="O4" s="114"/>
      <c r="P4" s="114"/>
      <c r="Q4" s="114"/>
      <c r="R4" s="114"/>
      <c r="S4" s="114"/>
      <c r="T4" s="114"/>
      <c r="U4" s="114"/>
      <c r="V4" s="114"/>
      <c r="W4" s="114"/>
      <c r="X4" s="114"/>
    </row>
    <row r="5" spans="1:35" s="53" customFormat="1" ht="15" customHeight="1" x14ac:dyDescent="0.25">
      <c r="A5" s="171"/>
      <c r="B5" s="21"/>
      <c r="C5" s="21"/>
      <c r="D5" s="152"/>
      <c r="E5" s="21"/>
      <c r="F5" s="327"/>
      <c r="G5" s="327"/>
      <c r="H5" s="327"/>
      <c r="I5" s="327"/>
      <c r="J5" s="114"/>
      <c r="K5" s="114"/>
      <c r="L5" s="114"/>
      <c r="M5" s="114"/>
      <c r="N5" s="114"/>
      <c r="O5" s="114"/>
      <c r="P5" s="114"/>
      <c r="Q5" s="114"/>
      <c r="R5" s="114"/>
      <c r="S5" s="114"/>
      <c r="T5" s="114"/>
      <c r="U5" s="114"/>
      <c r="V5" s="114"/>
      <c r="W5" s="114"/>
      <c r="X5" s="114"/>
    </row>
    <row r="7" spans="1:35" ht="20.25" thickBot="1" x14ac:dyDescent="0.35">
      <c r="A7" s="9" t="s">
        <v>72</v>
      </c>
      <c r="B7" s="66" t="s">
        <v>77</v>
      </c>
      <c r="C7" s="13" t="s">
        <v>76</v>
      </c>
      <c r="F7" s="54"/>
      <c r="G7" s="59" t="s">
        <v>223</v>
      </c>
      <c r="H7" s="60" t="s">
        <v>215</v>
      </c>
      <c r="I7" s="89" t="s">
        <v>53</v>
      </c>
      <c r="AD7" s="161"/>
      <c r="AE7" s="161"/>
      <c r="AF7" s="161"/>
      <c r="AG7" s="162"/>
      <c r="AH7" s="161"/>
      <c r="AI7" s="162"/>
    </row>
    <row r="8" spans="1:35" s="76" customFormat="1" ht="30" customHeight="1" x14ac:dyDescent="0.25">
      <c r="A8" s="73">
        <v>2</v>
      </c>
      <c r="B8" s="74" t="str">
        <f t="shared" ref="B8:B39" ca="1" si="0">VLOOKUP(A8,Contents_Text,2,FALSE)</f>
        <v>A.1</v>
      </c>
      <c r="C8" s="20">
        <f t="shared" ref="C8:C39" ca="1" si="1">VLOOKUP(A8,Contents_Text,15,FALSE)</f>
        <v>2</v>
      </c>
      <c r="D8" s="92"/>
      <c r="E8" s="67" t="str">
        <f t="shared" ref="E8:E39" ca="1" si="2">IF(C8=1,"Phase "&amp;B8,IF(C8=2,"Step "&amp;VLOOKUP(A8,Contents_Text,4,FALSE),B8))</f>
        <v>Step 1</v>
      </c>
      <c r="F8" s="112" t="str">
        <f t="shared" ref="F8:F39" ca="1" si="3">VLOOKUP(A8,Contents_Text,7,FALSE)</f>
        <v>Maintain a technical security assurance framework</v>
      </c>
      <c r="G8" s="113" t="str">
        <f ca="1">"Maturity level:  "&amp;O8</f>
        <v>Maturity level:  Level 1</v>
      </c>
      <c r="H8" s="114"/>
      <c r="I8" s="118"/>
      <c r="J8" s="114"/>
      <c r="K8" s="114"/>
      <c r="L8" s="114" t="str">
        <f ca="1">TEXT(B8,"0.0")</f>
        <v>A.1</v>
      </c>
      <c r="M8" s="113">
        <f ca="1">SUMIF(Y:Y,L8,G:G)/(SUMIF(Y:Y,L8,X:X))</f>
        <v>0</v>
      </c>
      <c r="N8" s="113" t="str">
        <f ca="1">HLOOKUP(M8*100,level_ref,2,TRUE)</f>
        <v>Level 1</v>
      </c>
      <c r="O8" s="113" t="str">
        <f ca="1">IF(ISERROR(N8),"",N8)</f>
        <v>Level 1</v>
      </c>
      <c r="P8" s="113">
        <f ca="1">HLOOKUP(M8*100,level_ref,3,TRUE)</f>
        <v>1</v>
      </c>
      <c r="Q8" s="113">
        <f ca="1">IF(ISERROR(P8),"",P8)</f>
        <v>1</v>
      </c>
      <c r="R8" s="113">
        <f ca="1">M8*5</f>
        <v>0</v>
      </c>
      <c r="S8" s="113"/>
      <c r="T8" s="113"/>
      <c r="U8" s="113" t="str">
        <f ca="1">IF(AND(C8&gt;4,VLOOKUP(A8,Assess_A_Reference,34,FALSE)&lt;&gt;8),LEFT(B8,3),"")</f>
        <v/>
      </c>
      <c r="V8" s="113">
        <f ca="1">VLOOKUP(A8,Weightings_Assessments,24,FALSE)</f>
        <v>0</v>
      </c>
      <c r="W8" s="113">
        <f ca="1">IF(VLOOKUP(A8,Assess_A_Reference,34,FALSE)=8,0,1)</f>
        <v>1</v>
      </c>
      <c r="X8" s="113">
        <f ca="1">W8*V8*4</f>
        <v>0</v>
      </c>
      <c r="Y8" s="76" t="str">
        <f ca="1">AG8&amp;U8</f>
        <v/>
      </c>
      <c r="AD8" s="86"/>
      <c r="AE8" s="86"/>
      <c r="AF8" s="86"/>
      <c r="AG8" s="79"/>
      <c r="AH8" s="86"/>
      <c r="AI8" s="79"/>
    </row>
    <row r="9" spans="1:35" s="132" customFormat="1" ht="30" customHeight="1" x14ac:dyDescent="0.25">
      <c r="A9" s="232">
        <v>3</v>
      </c>
      <c r="B9" s="126" t="str">
        <f t="shared" ca="1" si="0"/>
        <v>A.1.01</v>
      </c>
      <c r="C9" s="127">
        <f t="shared" ca="1" si="1"/>
        <v>5</v>
      </c>
      <c r="D9" s="92"/>
      <c r="E9" s="128" t="str">
        <f t="shared" ca="1" si="2"/>
        <v>A.1.01</v>
      </c>
      <c r="F9" s="233" t="str">
        <f t="shared" ca="1" si="3"/>
        <v>Have you identified and recorded all main internal systems that support your organisation?</v>
      </c>
      <c r="G9" s="195" t="str">
        <f ca="1">VLOOKUP($A9,Assess_A_Reference,15,FALSE)</f>
        <v/>
      </c>
      <c r="H9" s="195">
        <f ca="1">(VLOOKUP(LEFT($B9,3),Targets_Lookup,5,FALSE))*VLOOKUP($A9,Weightings_Assessments,23,FALSE)</f>
        <v>8</v>
      </c>
      <c r="I9" s="233" t="str">
        <f ca="1">IF(VLOOKUP(A9,Assess_A_Reference,16,FALSE)=0,"",VLOOKUP(A9,Assess_A_Reference,16,FALSE))</f>
        <v/>
      </c>
      <c r="J9" s="127"/>
      <c r="K9" s="127"/>
      <c r="L9" s="127"/>
      <c r="M9" s="127"/>
      <c r="N9" s="127"/>
      <c r="O9" s="127"/>
      <c r="P9" s="127"/>
      <c r="Q9" s="127"/>
      <c r="R9" s="127"/>
      <c r="S9" s="127"/>
      <c r="T9" s="129"/>
      <c r="U9" s="234" t="str">
        <f ca="1">IF(AND(C9&gt;4,VLOOKUP(A9,Assess_A_Reference,34,FALSE)&lt;&gt;8),LEFT(B9,3),"")</f>
        <v>A.1</v>
      </c>
      <c r="V9" s="234">
        <f ca="1">VLOOKUP(A9,Weightings_Assessments,24,FALSE)</f>
        <v>2</v>
      </c>
      <c r="W9" s="234">
        <f ca="1">IF(VLOOKUP(A9,Assess_A_Reference,34,FALSE)=8,0,1)</f>
        <v>1</v>
      </c>
      <c r="X9" s="234">
        <f ca="1">W9*V9*4</f>
        <v>8</v>
      </c>
      <c r="Y9" s="132" t="str">
        <f ca="1">AG9&amp;U9</f>
        <v>A.1</v>
      </c>
      <c r="AD9" s="130"/>
      <c r="AE9" s="130"/>
      <c r="AF9" s="130"/>
      <c r="AG9" s="131"/>
      <c r="AH9" s="130"/>
      <c r="AI9" s="131"/>
    </row>
    <row r="10" spans="1:35" s="142" customFormat="1" ht="75" x14ac:dyDescent="0.25">
      <c r="A10" s="151">
        <v>4</v>
      </c>
      <c r="B10" s="133" t="str">
        <f t="shared" ca="1" si="0"/>
        <v/>
      </c>
      <c r="C10" s="134">
        <f t="shared" ca="1" si="1"/>
        <v>3</v>
      </c>
      <c r="D10" s="92"/>
      <c r="E10" s="135" t="str">
        <f t="shared" ca="1" si="2"/>
        <v/>
      </c>
      <c r="F10" s="155" t="str">
        <f t="shared" ca="1" si="3"/>
        <v>Documentation about these systems would typically include: their level of criticality to the business; the sensitivity of any information they handle; any key dependencies; network diagrams, data flow and trust boundaries; details about important third party suppliers; IT infrastructure; and points of contact, roles and responsibilities.</v>
      </c>
      <c r="G10" s="195"/>
      <c r="H10" s="195"/>
      <c r="I10" s="136"/>
      <c r="J10" s="134"/>
      <c r="K10" s="134"/>
      <c r="L10" s="134"/>
      <c r="M10" s="134"/>
      <c r="N10" s="134"/>
      <c r="O10" s="134"/>
      <c r="P10" s="134"/>
      <c r="Q10" s="134"/>
      <c r="R10" s="134"/>
      <c r="S10" s="134"/>
      <c r="T10" s="139"/>
      <c r="U10" s="139"/>
      <c r="V10" s="139"/>
      <c r="W10" s="139"/>
      <c r="X10" s="139"/>
      <c r="AD10" s="140"/>
      <c r="AE10" s="140"/>
      <c r="AF10" s="140"/>
      <c r="AG10" s="141"/>
      <c r="AH10" s="140"/>
      <c r="AI10" s="141"/>
    </row>
    <row r="11" spans="1:35" s="142" customFormat="1" ht="30" customHeight="1" x14ac:dyDescent="0.25">
      <c r="A11" s="151">
        <v>5</v>
      </c>
      <c r="B11" s="133" t="str">
        <f t="shared" ca="1" si="0"/>
        <v>A.1.02</v>
      </c>
      <c r="C11" s="134">
        <f t="shared" ca="1" si="1"/>
        <v>5</v>
      </c>
      <c r="D11" s="92"/>
      <c r="E11" s="135" t="str">
        <f t="shared" ca="1" si="2"/>
        <v>A.1.02</v>
      </c>
      <c r="F11" s="136" t="str">
        <f t="shared" ca="1" si="3"/>
        <v>Do you apply different levels of security assurance for different systems based on their criticality or the sensitivity of the information they handle?</v>
      </c>
      <c r="G11" s="195" t="str">
        <f ca="1">VLOOKUP($A11,Assess_A_Reference,15,FALSE)</f>
        <v/>
      </c>
      <c r="H11" s="195">
        <f ca="1">(VLOOKUP(LEFT($B11,3),Targets_Lookup,5,FALSE))*VLOOKUP($A11,Weightings_Assessments,23,FALSE)</f>
        <v>16</v>
      </c>
      <c r="I11" s="136" t="str">
        <f ca="1">IF(VLOOKUP(A11,Assess_A_Reference,16,FALSE)=0,"",VLOOKUP(A11,Assess_A_Reference,16,FALSE))</f>
        <v/>
      </c>
      <c r="J11" s="134"/>
      <c r="K11" s="134"/>
      <c r="L11" s="134"/>
      <c r="M11" s="134"/>
      <c r="N11" s="134"/>
      <c r="O11" s="134"/>
      <c r="P11" s="134"/>
      <c r="Q11" s="134"/>
      <c r="R11" s="134"/>
      <c r="S11" s="134"/>
      <c r="T11" s="139"/>
      <c r="U11" s="235" t="str">
        <f ca="1">IF(AND(C11&gt;4,VLOOKUP(A11,Assess_A_Reference,34,FALSE)&lt;&gt;8),LEFT(B11,3),"")</f>
        <v>A.1</v>
      </c>
      <c r="V11" s="235">
        <f ca="1">VLOOKUP(A11,Weightings_Assessments,24,FALSE)</f>
        <v>4</v>
      </c>
      <c r="W11" s="235">
        <f ca="1">IF(VLOOKUP(A11,Assess_A_Reference,34,FALSE)=8,0,1)</f>
        <v>1</v>
      </c>
      <c r="X11" s="235">
        <f ca="1">W11*V11*4</f>
        <v>16</v>
      </c>
      <c r="Y11" s="142" t="str">
        <f ca="1">AG11&amp;U11</f>
        <v>A.1</v>
      </c>
      <c r="AD11" s="140"/>
      <c r="AE11" s="140"/>
      <c r="AF11" s="140"/>
      <c r="AG11" s="141"/>
      <c r="AH11" s="140"/>
      <c r="AI11" s="141"/>
    </row>
    <row r="12" spans="1:35" s="142" customFormat="1" ht="30" customHeight="1" x14ac:dyDescent="0.25">
      <c r="A12" s="151">
        <v>6</v>
      </c>
      <c r="B12" s="133" t="str">
        <f t="shared" ca="1" si="0"/>
        <v>A.1.03</v>
      </c>
      <c r="C12" s="134">
        <f t="shared" ca="1" si="1"/>
        <v>5</v>
      </c>
      <c r="D12" s="92"/>
      <c r="E12" s="135" t="str">
        <f t="shared" ca="1" si="2"/>
        <v>A.1.03</v>
      </c>
      <c r="F12" s="136" t="str">
        <f t="shared" ca="1" si="3"/>
        <v>Have you identified and categorised all main third party systems, processes and functions that support your organisation?</v>
      </c>
      <c r="G12" s="195" t="str">
        <f ca="1">VLOOKUP($A12,Assess_A_Reference,15,FALSE)</f>
        <v/>
      </c>
      <c r="H12" s="195">
        <f ca="1">(VLOOKUP(LEFT($B12,3),Targets_Lookup,5,FALSE))*VLOOKUP($A12,Weightings_Assessments,23,FALSE)</f>
        <v>12</v>
      </c>
      <c r="I12" s="136" t="str">
        <f ca="1">IF(VLOOKUP(A12,Assess_A_Reference,16,FALSE)=0,"",VLOOKUP(A12,Assess_A_Reference,16,FALSE))</f>
        <v/>
      </c>
      <c r="J12" s="134"/>
      <c r="K12" s="134"/>
      <c r="L12" s="134"/>
      <c r="M12" s="134"/>
      <c r="N12" s="134"/>
      <c r="O12" s="134"/>
      <c r="P12" s="134"/>
      <c r="Q12" s="134"/>
      <c r="R12" s="134"/>
      <c r="S12" s="134"/>
      <c r="T12" s="139"/>
      <c r="U12" s="235" t="str">
        <f ca="1">IF(AND(C12&gt;4,VLOOKUP(A12,Assess_A_Reference,34,FALSE)&lt;&gt;8),LEFT(B12,3),"")</f>
        <v>A.1</v>
      </c>
      <c r="V12" s="235">
        <f ca="1">VLOOKUP(A12,Weightings_Assessments,24,FALSE)</f>
        <v>3</v>
      </c>
      <c r="W12" s="235">
        <f ca="1">IF(VLOOKUP(A12,Assess_A_Reference,34,FALSE)=8,0,1)</f>
        <v>1</v>
      </c>
      <c r="X12" s="235">
        <f ca="1">W12*V12*4</f>
        <v>12</v>
      </c>
      <c r="Y12" s="142" t="str">
        <f ca="1">AG12&amp;U12</f>
        <v>A.1</v>
      </c>
      <c r="AD12" s="140"/>
      <c r="AE12" s="140"/>
      <c r="AF12" s="140"/>
      <c r="AG12" s="141"/>
      <c r="AH12" s="140"/>
      <c r="AI12" s="141"/>
    </row>
    <row r="13" spans="1:35" s="142" customFormat="1" ht="30" customHeight="1" x14ac:dyDescent="0.25">
      <c r="A13" s="151">
        <v>7</v>
      </c>
      <c r="B13" s="133" t="str">
        <f t="shared" ca="1" si="0"/>
        <v>A.1.04</v>
      </c>
      <c r="C13" s="134">
        <f t="shared" ca="1" si="1"/>
        <v>5</v>
      </c>
      <c r="D13" s="92"/>
      <c r="E13" s="135" t="str">
        <f t="shared" ca="1" si="2"/>
        <v>A.1.04</v>
      </c>
      <c r="F13" s="136" t="str">
        <f t="shared" ca="1" si="3"/>
        <v>Do you maintain an underlying technical security assurance framework?</v>
      </c>
      <c r="G13" s="195" t="str">
        <f ca="1">VLOOKUP($A13,Assess_A_Reference,15,FALSE)</f>
        <v/>
      </c>
      <c r="H13" s="195">
        <f ca="1">(VLOOKUP(LEFT($B13,3),Targets_Lookup,5,FALSE))*VLOOKUP($A13,Weightings_Assessments,23,FALSE)</f>
        <v>16</v>
      </c>
      <c r="I13" s="136" t="str">
        <f ca="1">IF(VLOOKUP(A13,Assess_A_Reference,16,FALSE)=0,"",VLOOKUP(A13,Assess_A_Reference,16,FALSE))</f>
        <v/>
      </c>
      <c r="J13" s="134"/>
      <c r="K13" s="134"/>
      <c r="L13" s="134"/>
      <c r="M13" s="134"/>
      <c r="N13" s="134"/>
      <c r="O13" s="134"/>
      <c r="P13" s="134"/>
      <c r="Q13" s="134"/>
      <c r="R13" s="134"/>
      <c r="S13" s="134"/>
      <c r="T13" s="139"/>
      <c r="U13" s="235" t="str">
        <f ca="1">IF(AND(C13&gt;4,VLOOKUP(A13,Assess_A_Reference,34,FALSE)&lt;&gt;8),LEFT(B13,3),"")</f>
        <v>A.1</v>
      </c>
      <c r="V13" s="235">
        <f ca="1">VLOOKUP(A13,Weightings_Assessments,24,FALSE)</f>
        <v>4</v>
      </c>
      <c r="W13" s="235">
        <f ca="1">IF(VLOOKUP(A13,Assess_A_Reference,34,FALSE)=8,0,1)</f>
        <v>1</v>
      </c>
      <c r="X13" s="235">
        <f ca="1">W13*V13*4</f>
        <v>16</v>
      </c>
      <c r="Y13" s="142" t="str">
        <f ca="1">AG13&amp;U13</f>
        <v>A.1</v>
      </c>
      <c r="AD13" s="140"/>
      <c r="AE13" s="140"/>
      <c r="AF13" s="140"/>
      <c r="AG13" s="141"/>
      <c r="AH13" s="140"/>
      <c r="AI13" s="141"/>
    </row>
    <row r="14" spans="1:35" s="242" customFormat="1" ht="90" x14ac:dyDescent="0.25">
      <c r="A14" s="236">
        <v>8</v>
      </c>
      <c r="B14" s="237" t="str">
        <f t="shared" ca="1" si="0"/>
        <v/>
      </c>
      <c r="C14" s="221">
        <f t="shared" ca="1" si="1"/>
        <v>3</v>
      </c>
      <c r="D14" s="92"/>
      <c r="E14" s="238" t="str">
        <f t="shared" ca="1" si="2"/>
        <v/>
      </c>
      <c r="F14" s="239" t="str">
        <f t="shared" ca="1" si="3"/>
        <v>A technical security assurance framework would typically include: multiple environments for testing; a security architecture; an ongoing security monitoring services (e.g. in a SOC); an adequate range of technical security services; a balanced selection of preventative, detective and reactive security controls; and a road map or similar to provide a short, medium and long term outlook for security posture.</v>
      </c>
      <c r="G14" s="195"/>
      <c r="H14" s="195"/>
      <c r="I14" s="240"/>
      <c r="J14" s="221"/>
      <c r="K14" s="221"/>
      <c r="L14" s="221"/>
      <c r="M14" s="221"/>
      <c r="N14" s="221"/>
      <c r="O14" s="221"/>
      <c r="P14" s="221"/>
      <c r="Q14" s="221"/>
      <c r="R14" s="221"/>
      <c r="S14" s="221"/>
      <c r="T14" s="241"/>
      <c r="U14" s="241"/>
      <c r="V14" s="241"/>
      <c r="W14" s="241"/>
      <c r="X14" s="241"/>
      <c r="AD14" s="243"/>
      <c r="AE14" s="243"/>
      <c r="AF14" s="243"/>
      <c r="AG14" s="244"/>
      <c r="AH14" s="243"/>
      <c r="AI14" s="244"/>
    </row>
    <row r="15" spans="1:35" s="77" customFormat="1" ht="60" x14ac:dyDescent="0.25">
      <c r="A15" s="68">
        <v>9</v>
      </c>
      <c r="B15" s="69" t="str">
        <f t="shared" ca="1" si="0"/>
        <v>A.1.05</v>
      </c>
      <c r="C15" s="70">
        <f t="shared" ca="1" si="1"/>
        <v>5</v>
      </c>
      <c r="D15" s="20"/>
      <c r="E15" s="91" t="str">
        <f t="shared" ca="1" si="2"/>
        <v>A.1.05</v>
      </c>
      <c r="F15" s="72" t="str">
        <f t="shared" ca="1" si="3"/>
        <v>Does your technical security assurance framework include testing: incident response processes; backups, to ensure that critical information and systems can be restored within critical timescales; incident response processes; and disaster recovery / fail-over processes?</v>
      </c>
      <c r="G15" s="195" t="str">
        <f ca="1">VLOOKUP($A15,Assess_A_Reference,15,FALSE)</f>
        <v/>
      </c>
      <c r="H15" s="195">
        <f ca="1">(VLOOKUP(LEFT($B15,3),Targets_Lookup,5,FALSE))*VLOOKUP($A15,Weightings_Assessments,23,FALSE)</f>
        <v>12</v>
      </c>
      <c r="I15" s="72" t="str">
        <f ca="1">IF(VLOOKUP(A15,Assess_A_Reference,16,FALSE)=0,"",VLOOKUP(A15,Assess_A_Reference,16,FALSE))</f>
        <v/>
      </c>
      <c r="J15" s="70"/>
      <c r="K15" s="70"/>
      <c r="L15" s="70"/>
      <c r="M15" s="70"/>
      <c r="N15" s="70"/>
      <c r="O15" s="70"/>
      <c r="P15" s="70"/>
      <c r="Q15" s="70"/>
      <c r="R15" s="70"/>
      <c r="S15" s="70"/>
      <c r="T15" s="78"/>
      <c r="U15" s="106" t="str">
        <f ca="1">IF(AND(C15&gt;4,VLOOKUP(A15,Assess_A_Reference,34,FALSE)&lt;&gt;8),LEFT(B15,3),"")</f>
        <v>A.1</v>
      </c>
      <c r="V15" s="106">
        <f ca="1">VLOOKUP(A15,Weightings_Assessments,24,FALSE)</f>
        <v>3</v>
      </c>
      <c r="W15" s="106">
        <f ca="1">IF(VLOOKUP(A15,Assess_A_Reference,34,FALSE)=8,0,1)</f>
        <v>1</v>
      </c>
      <c r="X15" s="106">
        <f ca="1">W15*V15*4</f>
        <v>12</v>
      </c>
      <c r="Y15" s="77" t="str">
        <f ca="1">AG15&amp;U15</f>
        <v>A.1</v>
      </c>
      <c r="AD15" s="86"/>
      <c r="AE15" s="86"/>
      <c r="AF15" s="86"/>
      <c r="AG15" s="79"/>
      <c r="AH15" s="86"/>
      <c r="AI15" s="79"/>
    </row>
    <row r="16" spans="1:35" s="77" customFormat="1" ht="60" x14ac:dyDescent="0.25">
      <c r="A16" s="68">
        <v>10</v>
      </c>
      <c r="B16" s="69" t="str">
        <f t="shared" ca="1" si="0"/>
        <v>A.1.06</v>
      </c>
      <c r="C16" s="70">
        <f t="shared" ca="1" si="1"/>
        <v>5</v>
      </c>
      <c r="D16" s="20"/>
      <c r="E16" s="91" t="str">
        <f t="shared" ca="1" si="2"/>
        <v>A.1.06</v>
      </c>
      <c r="F16" s="72" t="str">
        <f t="shared" ca="1" si="3"/>
        <v>Is your technical security assurance framework supported by sufficient budget, skilled resources, processes, tools and technology; backed up by adequate management support and an IT or Cyber security risk management programme?</v>
      </c>
      <c r="G16" s="195" t="str">
        <f ca="1">VLOOKUP($A16,Assess_A_Reference,15,FALSE)</f>
        <v/>
      </c>
      <c r="H16" s="195">
        <f ca="1">(VLOOKUP(LEFT($B16,3),Targets_Lookup,5,FALSE))*VLOOKUP($A16,Weightings_Assessments,23,FALSE)</f>
        <v>20</v>
      </c>
      <c r="I16" s="72" t="str">
        <f ca="1">IF(VLOOKUP(A16,Assess_A_Reference,16,FALSE)=0,"",VLOOKUP(A16,Assess_A_Reference,16,FALSE))</f>
        <v/>
      </c>
      <c r="J16" s="70"/>
      <c r="K16" s="70"/>
      <c r="L16" s="70"/>
      <c r="M16" s="70"/>
      <c r="N16" s="70"/>
      <c r="O16" s="70"/>
      <c r="P16" s="70"/>
      <c r="Q16" s="70"/>
      <c r="R16" s="70"/>
      <c r="S16" s="70"/>
      <c r="T16" s="78"/>
      <c r="U16" s="106" t="str">
        <f ca="1">IF(AND(C16&gt;4,VLOOKUP(A16,Assess_A_Reference,34,FALSE)&lt;&gt;8),LEFT(B16,3),"")</f>
        <v>A.1</v>
      </c>
      <c r="V16" s="106">
        <f ca="1">VLOOKUP(A16,Weightings_Assessments,24,FALSE)</f>
        <v>5</v>
      </c>
      <c r="W16" s="106">
        <f ca="1">IF(VLOOKUP(A16,Assess_A_Reference,34,FALSE)=8,0,1)</f>
        <v>1</v>
      </c>
      <c r="X16" s="106">
        <f ca="1">W16*V16*4</f>
        <v>20</v>
      </c>
      <c r="Y16" s="77" t="str">
        <f ca="1">AG16&amp;U16</f>
        <v>A.1</v>
      </c>
      <c r="AD16" s="86"/>
      <c r="AE16" s="86"/>
      <c r="AF16" s="86"/>
      <c r="AG16" s="79"/>
      <c r="AH16" s="86"/>
      <c r="AI16" s="79"/>
    </row>
    <row r="17" spans="1:35" s="77" customFormat="1" ht="105" x14ac:dyDescent="0.25">
      <c r="A17" s="68">
        <v>11</v>
      </c>
      <c r="B17" s="69" t="str">
        <f t="shared" ca="1" si="0"/>
        <v/>
      </c>
      <c r="C17" s="70">
        <f t="shared" ca="1" si="1"/>
        <v>3</v>
      </c>
      <c r="D17" s="20"/>
      <c r="E17" s="91" t="str">
        <f t="shared" ca="1" si="2"/>
        <v/>
      </c>
      <c r="F17" s="166" t="str">
        <f t="shared" ca="1" si="3"/>
        <v>An IT or Cyber security risk management programme would typically include: a documented risk management architecture and framework; a risk management strategy (including risk appetite); details of relevant legal, regulatory and contractual compliance requirements; a list of all main threats, a risk register showing exposure of key assets; and a method of assessing the effectiveness of technical security arrangements.</v>
      </c>
      <c r="G17" s="85"/>
      <c r="H17" s="85"/>
      <c r="I17" s="72"/>
      <c r="J17" s="70"/>
      <c r="K17" s="70"/>
      <c r="L17" s="70"/>
      <c r="M17" s="70"/>
      <c r="N17" s="70"/>
      <c r="O17" s="70"/>
      <c r="P17" s="70"/>
      <c r="Q17" s="70"/>
      <c r="R17" s="70"/>
      <c r="S17" s="70"/>
      <c r="T17" s="78"/>
      <c r="U17" s="78"/>
      <c r="V17" s="78"/>
      <c r="W17" s="78"/>
      <c r="X17" s="78"/>
      <c r="AD17" s="86"/>
      <c r="AE17" s="86"/>
      <c r="AF17" s="86"/>
      <c r="AG17" s="79"/>
      <c r="AH17" s="86"/>
      <c r="AI17" s="79"/>
    </row>
    <row r="18" spans="1:35" s="77" customFormat="1" ht="30" customHeight="1" x14ac:dyDescent="0.25">
      <c r="A18" s="68">
        <v>12</v>
      </c>
      <c r="B18" s="69" t="str">
        <f t="shared" ca="1" si="0"/>
        <v>A.2</v>
      </c>
      <c r="C18" s="70">
        <f t="shared" ca="1" si="1"/>
        <v>2</v>
      </c>
      <c r="D18" s="20"/>
      <c r="E18" s="111" t="str">
        <f t="shared" ca="1" si="2"/>
        <v>Step 2</v>
      </c>
      <c r="F18" s="108" t="str">
        <f t="shared" ca="1" si="3"/>
        <v>Establish a penetration testing governance structure</v>
      </c>
      <c r="G18" s="193" t="str">
        <f ca="1">"Maturity level:  "&amp;O18</f>
        <v>Maturity level:  Level 1</v>
      </c>
      <c r="H18" s="194"/>
      <c r="I18" s="172"/>
      <c r="J18" s="107"/>
      <c r="K18" s="107"/>
      <c r="L18" s="107" t="str">
        <f ca="1">TEXT(B18,"0.0")</f>
        <v>A.2</v>
      </c>
      <c r="M18" s="106">
        <f ca="1">SUMIF(Y:Y,L18,G:G)/(SUMIF(Y:Y,L18,X:X))</f>
        <v>0</v>
      </c>
      <c r="N18" s="106" t="str">
        <f ca="1">HLOOKUP(M18*100,level_ref,2,TRUE)</f>
        <v>Level 1</v>
      </c>
      <c r="O18" s="106" t="str">
        <f ca="1">IF(ISERROR(N18),"",N18)</f>
        <v>Level 1</v>
      </c>
      <c r="P18" s="106">
        <f ca="1">HLOOKUP(M18*100,level_ref,3,TRUE)</f>
        <v>1</v>
      </c>
      <c r="Q18" s="106">
        <f ca="1">IF(ISERROR(P18),"",P18)</f>
        <v>1</v>
      </c>
      <c r="R18" s="106">
        <f ca="1">M18*5</f>
        <v>0</v>
      </c>
      <c r="S18" s="106"/>
      <c r="T18" s="106"/>
      <c r="U18" s="106" t="str">
        <f ca="1">IF(AND(C18&gt;4,VLOOKUP(A18,Assess_A_Reference,34,FALSE)&lt;&gt;8),LEFT(B18,3),"")</f>
        <v/>
      </c>
      <c r="V18" s="106">
        <f ca="1">VLOOKUP(A18,Weightings_Assessments,24,FALSE)</f>
        <v>0</v>
      </c>
      <c r="W18" s="106">
        <f ca="1">IF(VLOOKUP(A18,Assess_A_Reference,34,FALSE)=8,0,1)</f>
        <v>1</v>
      </c>
      <c r="X18" s="106">
        <f ca="1">W18*V18*4</f>
        <v>0</v>
      </c>
      <c r="Y18" s="77" t="str">
        <f ca="1">AG18&amp;U18</f>
        <v/>
      </c>
      <c r="AD18" s="86"/>
      <c r="AE18" s="86"/>
      <c r="AF18" s="86"/>
      <c r="AG18" s="79"/>
      <c r="AH18" s="86"/>
      <c r="AI18" s="79"/>
    </row>
    <row r="19" spans="1:35" s="77" customFormat="1" ht="30" customHeight="1" x14ac:dyDescent="0.25">
      <c r="A19" s="68">
        <v>13</v>
      </c>
      <c r="B19" s="69" t="str">
        <f t="shared" ca="1" si="0"/>
        <v>A.2.01</v>
      </c>
      <c r="C19" s="70">
        <f t="shared" ca="1" si="1"/>
        <v>5</v>
      </c>
      <c r="D19" s="20"/>
      <c r="E19" s="91" t="str">
        <f t="shared" ca="1" si="2"/>
        <v>A.2.01</v>
      </c>
      <c r="F19" s="72" t="str">
        <f t="shared" ca="1" si="3"/>
        <v>Have you established a suitable governance structure to oversee and coordinate a regular penetration testing programme?</v>
      </c>
      <c r="G19" s="195" t="str">
        <f ca="1">VLOOKUP($A19,Assess_A_Reference,15,FALSE)</f>
        <v/>
      </c>
      <c r="H19" s="195">
        <f ca="1">(VLOOKUP(LEFT($B19,3),Targets_Lookup,5,FALSE))*VLOOKUP($A19,Weightings_Assessments,23,FALSE)</f>
        <v>4</v>
      </c>
      <c r="I19" s="72" t="str">
        <f ca="1">IF(VLOOKUP(A19,Assess_A_Reference,16,FALSE)=0,"",VLOOKUP(A19,Assess_A_Reference,16,FALSE))</f>
        <v/>
      </c>
      <c r="J19" s="70"/>
      <c r="K19" s="70"/>
      <c r="L19" s="70"/>
      <c r="M19" s="70"/>
      <c r="N19" s="70"/>
      <c r="O19" s="70"/>
      <c r="P19" s="70"/>
      <c r="Q19" s="70"/>
      <c r="R19" s="70"/>
      <c r="S19" s="70"/>
      <c r="T19" s="78"/>
      <c r="U19" s="106" t="str">
        <f ca="1">IF(AND(C19&gt;4,VLOOKUP(A19,Assess_A_Reference,34,FALSE)&lt;&gt;8),LEFT(B19,3),"")</f>
        <v>A.2</v>
      </c>
      <c r="V19" s="106">
        <f ca="1">VLOOKUP(A19,Weightings_Assessments,24,FALSE)</f>
        <v>1</v>
      </c>
      <c r="W19" s="106">
        <f ca="1">IF(VLOOKUP(A19,Assess_A_Reference,34,FALSE)=8,0,1)</f>
        <v>1</v>
      </c>
      <c r="X19" s="106">
        <f ca="1">W19*V19*4</f>
        <v>4</v>
      </c>
      <c r="Y19" s="77" t="str">
        <f ca="1">AG19&amp;U19</f>
        <v>A.2</v>
      </c>
      <c r="AD19" s="86"/>
      <c r="AE19" s="86"/>
      <c r="AF19" s="86"/>
      <c r="AG19" s="79"/>
      <c r="AH19" s="86"/>
      <c r="AI19" s="79"/>
    </row>
    <row r="20" spans="1:35" s="77" customFormat="1" ht="45" x14ac:dyDescent="0.25">
      <c r="A20" s="68">
        <v>14</v>
      </c>
      <c r="B20" s="69" t="str">
        <f t="shared" ca="1" si="0"/>
        <v/>
      </c>
      <c r="C20" s="70">
        <f t="shared" ca="1" si="1"/>
        <v>3</v>
      </c>
      <c r="D20" s="20"/>
      <c r="E20" s="91" t="str">
        <f t="shared" ca="1" si="2"/>
        <v/>
      </c>
      <c r="F20" s="166" t="str">
        <f t="shared" ca="1" si="3"/>
        <v>An effective governance structure for penetration testing would typically cover all main systems enterprise-wide, while focusing on the most critical, allowing for the protection of any sensitive information.</v>
      </c>
      <c r="G20" s="85"/>
      <c r="H20" s="85"/>
      <c r="I20" s="72"/>
      <c r="J20" s="70"/>
      <c r="K20" s="70"/>
      <c r="L20" s="70"/>
      <c r="M20" s="70"/>
      <c r="N20" s="70"/>
      <c r="O20" s="70"/>
      <c r="P20" s="70"/>
      <c r="Q20" s="70"/>
      <c r="R20" s="70"/>
      <c r="S20" s="70"/>
      <c r="T20" s="78"/>
      <c r="U20" s="78"/>
      <c r="V20" s="78"/>
      <c r="W20" s="78"/>
      <c r="X20" s="78"/>
      <c r="AD20" s="86"/>
      <c r="AE20" s="86"/>
      <c r="AF20" s="86"/>
      <c r="AG20" s="79"/>
      <c r="AH20" s="86"/>
      <c r="AI20" s="79"/>
    </row>
    <row r="21" spans="1:35" s="77" customFormat="1" ht="30" customHeight="1" x14ac:dyDescent="0.25">
      <c r="A21" s="68">
        <v>15</v>
      </c>
      <c r="B21" s="69" t="str">
        <f t="shared" ca="1" si="0"/>
        <v>A.2.02</v>
      </c>
      <c r="C21" s="70">
        <f t="shared" ca="1" si="1"/>
        <v>5</v>
      </c>
      <c r="D21" s="20"/>
      <c r="E21" s="91" t="str">
        <f t="shared" ca="1" si="2"/>
        <v>A.2.02</v>
      </c>
      <c r="F21" s="72" t="str">
        <f t="shared" ca="1" si="3"/>
        <v>Have you established a joint management and technical team to agree the programme and scope of regular penetration testing?</v>
      </c>
      <c r="G21" s="195" t="str">
        <f ca="1">VLOOKUP($A21,Assess_A_Reference,15,FALSE)</f>
        <v/>
      </c>
      <c r="H21" s="195">
        <f ca="1">(VLOOKUP(LEFT($B21,3),Targets_Lookup,5,FALSE))*VLOOKUP($A21,Weightings_Assessments,23,FALSE)</f>
        <v>16</v>
      </c>
      <c r="I21" s="72" t="str">
        <f ca="1">IF(VLOOKUP(A21,Assess_A_Reference,16,FALSE)=0,"",VLOOKUP(A21,Assess_A_Reference,16,FALSE))</f>
        <v/>
      </c>
      <c r="J21" s="70"/>
      <c r="K21" s="70"/>
      <c r="L21" s="70"/>
      <c r="M21" s="70"/>
      <c r="N21" s="70"/>
      <c r="O21" s="70"/>
      <c r="P21" s="70"/>
      <c r="Q21" s="70"/>
      <c r="R21" s="70"/>
      <c r="S21" s="70"/>
      <c r="T21" s="78"/>
      <c r="U21" s="106" t="str">
        <f ca="1">IF(AND(C21&gt;4,VLOOKUP(A21,Assess_A_Reference,34,FALSE)&lt;&gt;8),LEFT(B21,3),"")</f>
        <v>A.2</v>
      </c>
      <c r="V21" s="106">
        <f ca="1">VLOOKUP(A21,Weightings_Assessments,24,FALSE)</f>
        <v>4</v>
      </c>
      <c r="W21" s="106">
        <f ca="1">IF(VLOOKUP(A21,Assess_A_Reference,34,FALSE)=8,0,1)</f>
        <v>1</v>
      </c>
      <c r="X21" s="106">
        <f ca="1">W21*V21*4</f>
        <v>16</v>
      </c>
      <c r="Y21" s="77" t="str">
        <f ca="1">AG21&amp;U21</f>
        <v>A.2</v>
      </c>
      <c r="AD21" s="86"/>
      <c r="AE21" s="86"/>
      <c r="AF21" s="86"/>
      <c r="AG21" s="79"/>
      <c r="AH21" s="86"/>
      <c r="AI21" s="79"/>
    </row>
    <row r="22" spans="1:35" s="77" customFormat="1" ht="75" x14ac:dyDescent="0.25">
      <c r="A22" s="68">
        <v>16</v>
      </c>
      <c r="B22" s="69" t="str">
        <f t="shared" ca="1" si="0"/>
        <v/>
      </c>
      <c r="C22" s="70">
        <f t="shared" ca="1" si="1"/>
        <v>3</v>
      </c>
      <c r="D22" s="20"/>
      <c r="E22" s="91" t="str">
        <f t="shared" ca="1" si="2"/>
        <v/>
      </c>
      <c r="F22" s="166" t="str">
        <f t="shared" ca="1" si="3"/>
        <v>An effective management and technical team would typically have direct access to senior management to raise significant concerns, supported by the ability and authority to contribute to a wider security improvement, providing adequate control over the penetration testing programme.</v>
      </c>
      <c r="G22" s="85"/>
      <c r="H22" s="85"/>
      <c r="I22" s="72"/>
      <c r="J22" s="70"/>
      <c r="K22" s="70"/>
      <c r="L22" s="70"/>
      <c r="M22" s="70"/>
      <c r="N22" s="70"/>
      <c r="O22" s="70"/>
      <c r="P22" s="70"/>
      <c r="Q22" s="70"/>
      <c r="R22" s="70"/>
      <c r="S22" s="70"/>
      <c r="T22" s="78"/>
      <c r="U22" s="78"/>
      <c r="V22" s="78"/>
      <c r="W22" s="78"/>
      <c r="X22" s="78"/>
      <c r="AD22" s="86"/>
      <c r="AE22" s="86"/>
      <c r="AF22" s="86"/>
      <c r="AG22" s="79"/>
      <c r="AH22" s="86"/>
      <c r="AI22" s="79"/>
    </row>
    <row r="23" spans="1:35" s="77" customFormat="1" ht="90" x14ac:dyDescent="0.25">
      <c r="A23" s="68">
        <v>17</v>
      </c>
      <c r="B23" s="69" t="str">
        <f t="shared" ca="1" si="0"/>
        <v>A.2.03</v>
      </c>
      <c r="C23" s="70">
        <f t="shared" ca="1" si="1"/>
        <v>5</v>
      </c>
      <c r="D23" s="20"/>
      <c r="E23" s="91" t="str">
        <f t="shared" ca="1" si="2"/>
        <v>A.2.03</v>
      </c>
      <c r="F23" s="72" t="str">
        <f t="shared" ca="1" si="3"/>
        <v>Does your penetration testing programme include an approved: set of penetration testing processes and methodologies that apply enterprise-wide, supplier selection criteria, a penetration testing assurance management framework and a range of follow up activities to ensure that remediation activities are carried out in an effective manner, reducing the risk of vulnerabilities being exploited in the future?</v>
      </c>
      <c r="G23" s="195" t="str">
        <f t="shared" ref="G23:G28" ca="1" si="4">VLOOKUP($A23,Assess_A_Reference,15,FALSE)</f>
        <v/>
      </c>
      <c r="H23" s="195">
        <f t="shared" ref="H23:H28" ca="1" si="5">(VLOOKUP(LEFT($B23,3),Targets_Lookup,5,FALSE))*VLOOKUP($A23,Weightings_Assessments,23,FALSE)</f>
        <v>12</v>
      </c>
      <c r="I23" s="72" t="str">
        <f t="shared" ref="I23:I28" ca="1" si="6">IF(VLOOKUP(A23,Assess_A_Reference,16,FALSE)=0,"",VLOOKUP(A23,Assess_A_Reference,16,FALSE))</f>
        <v/>
      </c>
      <c r="J23" s="70"/>
      <c r="K23" s="70"/>
      <c r="L23" s="70"/>
      <c r="M23" s="70"/>
      <c r="N23" s="70"/>
      <c r="O23" s="70"/>
      <c r="P23" s="70"/>
      <c r="Q23" s="70"/>
      <c r="R23" s="70"/>
      <c r="S23" s="70"/>
      <c r="T23" s="78"/>
      <c r="U23" s="106" t="str">
        <f t="shared" ref="U23:U28" ca="1" si="7">IF(AND(C23&gt;4,VLOOKUP(A23,Assess_A_Reference,34,FALSE)&lt;&gt;8),LEFT(B23,3),"")</f>
        <v>A.2</v>
      </c>
      <c r="V23" s="106">
        <f t="shared" ref="V23:V28" ca="1" si="8">VLOOKUP(A23,Weightings_Assessments,24,FALSE)</f>
        <v>3</v>
      </c>
      <c r="W23" s="106">
        <f t="shared" ref="W23:W28" ca="1" si="9">IF(VLOOKUP(A23,Assess_A_Reference,34,FALSE)=8,0,1)</f>
        <v>1</v>
      </c>
      <c r="X23" s="106">
        <f t="shared" ref="X23:X28" ca="1" si="10">W23*V23*4</f>
        <v>12</v>
      </c>
      <c r="Y23" s="77" t="str">
        <f t="shared" ref="Y23:Y28" ca="1" si="11">AG23&amp;U23</f>
        <v>A.2</v>
      </c>
      <c r="AD23" s="86"/>
      <c r="AE23" s="86"/>
      <c r="AF23" s="86"/>
      <c r="AG23" s="79"/>
      <c r="AH23" s="86"/>
      <c r="AI23" s="79"/>
    </row>
    <row r="24" spans="1:35" s="77" customFormat="1" ht="60" x14ac:dyDescent="0.25">
      <c r="A24" s="68">
        <v>18</v>
      </c>
      <c r="B24" s="69" t="str">
        <f t="shared" ca="1" si="0"/>
        <v>A.2.04</v>
      </c>
      <c r="C24" s="70">
        <f t="shared" ca="1" si="1"/>
        <v>5</v>
      </c>
      <c r="D24" s="20"/>
      <c r="E24" s="91" t="str">
        <f t="shared" ca="1" si="2"/>
        <v>A.2.04</v>
      </c>
      <c r="F24" s="72" t="str">
        <f t="shared" ca="1" si="3"/>
        <v>Is your penetration testing programme reviewed and approved by appropriate business and IT management, supported by stated objectives and timelines, and integrated in to your underlying technical security assurance framework?</v>
      </c>
      <c r="G24" s="195" t="str">
        <f t="shared" ca="1" si="4"/>
        <v/>
      </c>
      <c r="H24" s="195">
        <f t="shared" ca="1" si="5"/>
        <v>12</v>
      </c>
      <c r="I24" s="72" t="str">
        <f t="shared" ca="1" si="6"/>
        <v/>
      </c>
      <c r="J24" s="70"/>
      <c r="K24" s="70"/>
      <c r="L24" s="70"/>
      <c r="M24" s="70"/>
      <c r="N24" s="70"/>
      <c r="O24" s="70"/>
      <c r="P24" s="70"/>
      <c r="Q24" s="70"/>
      <c r="R24" s="70"/>
      <c r="S24" s="70"/>
      <c r="T24" s="78"/>
      <c r="U24" s="106" t="str">
        <f t="shared" ca="1" si="7"/>
        <v>A.2</v>
      </c>
      <c r="V24" s="106">
        <f t="shared" ca="1" si="8"/>
        <v>3</v>
      </c>
      <c r="W24" s="106">
        <f t="shared" ca="1" si="9"/>
        <v>1</v>
      </c>
      <c r="X24" s="106">
        <f t="shared" ca="1" si="10"/>
        <v>12</v>
      </c>
      <c r="Y24" s="77" t="str">
        <f t="shared" ca="1" si="11"/>
        <v>A.2</v>
      </c>
      <c r="AD24" s="86"/>
      <c r="AE24" s="86"/>
      <c r="AF24" s="86"/>
      <c r="AG24" s="79"/>
      <c r="AH24" s="86"/>
      <c r="AI24" s="79"/>
    </row>
    <row r="25" spans="1:35" s="77" customFormat="1" ht="45" x14ac:dyDescent="0.25">
      <c r="A25" s="68">
        <v>19</v>
      </c>
      <c r="B25" s="69" t="str">
        <f t="shared" ca="1" si="0"/>
        <v>A.2.05</v>
      </c>
      <c r="C25" s="70">
        <f t="shared" ca="1" si="1"/>
        <v>5</v>
      </c>
      <c r="D25" s="20"/>
      <c r="E25" s="91" t="str">
        <f t="shared" ca="1" si="2"/>
        <v>A.2.05</v>
      </c>
      <c r="F25" s="72" t="str">
        <f t="shared" ca="1" si="3"/>
        <v>Does your penetration testing programme align with a wider security review framework, technical security infrastructure and system development processes (particularly for Web applications)?</v>
      </c>
      <c r="G25" s="195" t="str">
        <f t="shared" ca="1" si="4"/>
        <v/>
      </c>
      <c r="H25" s="195">
        <f t="shared" ca="1" si="5"/>
        <v>12</v>
      </c>
      <c r="I25" s="72" t="str">
        <f t="shared" ca="1" si="6"/>
        <v/>
      </c>
      <c r="J25" s="70"/>
      <c r="K25" s="70"/>
      <c r="L25" s="70"/>
      <c r="M25" s="70"/>
      <c r="N25" s="70"/>
      <c r="O25" s="70"/>
      <c r="P25" s="70"/>
      <c r="Q25" s="70"/>
      <c r="R25" s="70"/>
      <c r="S25" s="70"/>
      <c r="T25" s="78"/>
      <c r="U25" s="106" t="str">
        <f t="shared" ca="1" si="7"/>
        <v>A.2</v>
      </c>
      <c r="V25" s="106">
        <f t="shared" ca="1" si="8"/>
        <v>3</v>
      </c>
      <c r="W25" s="106">
        <f t="shared" ca="1" si="9"/>
        <v>1</v>
      </c>
      <c r="X25" s="106">
        <f t="shared" ca="1" si="10"/>
        <v>12</v>
      </c>
      <c r="Y25" s="77" t="str">
        <f t="shared" ca="1" si="11"/>
        <v>A.2</v>
      </c>
      <c r="AD25" s="86"/>
      <c r="AE25" s="86"/>
      <c r="AF25" s="86"/>
      <c r="AG25" s="79"/>
      <c r="AH25" s="86"/>
      <c r="AI25" s="79"/>
    </row>
    <row r="26" spans="1:35" s="77" customFormat="1" ht="75" x14ac:dyDescent="0.25">
      <c r="A26" s="68">
        <v>20</v>
      </c>
      <c r="B26" s="69" t="str">
        <f t="shared" ca="1" si="0"/>
        <v>A.2.06</v>
      </c>
      <c r="C26" s="70">
        <f t="shared" ca="1" si="1"/>
        <v>5</v>
      </c>
      <c r="D26" s="20"/>
      <c r="E26" s="91" t="str">
        <f t="shared" ca="1" si="2"/>
        <v>A.2.06</v>
      </c>
      <c r="F26" s="72" t="str">
        <f t="shared" ca="1" si="3"/>
        <v>Do you have a change management process that enables the secure introduction of or changes to: business initiatives, business processes, web applications and IT infrastructure; legal and regulatory requirements; your threat landscape, security governance approach and security controls framework?</v>
      </c>
      <c r="G26" s="195" t="str">
        <f t="shared" ca="1" si="4"/>
        <v/>
      </c>
      <c r="H26" s="195">
        <f t="shared" ca="1" si="5"/>
        <v>16</v>
      </c>
      <c r="I26" s="72" t="str">
        <f t="shared" ca="1" si="6"/>
        <v/>
      </c>
      <c r="J26" s="70"/>
      <c r="K26" s="70"/>
      <c r="L26" s="70"/>
      <c r="M26" s="70"/>
      <c r="N26" s="70"/>
      <c r="O26" s="70"/>
      <c r="P26" s="70"/>
      <c r="Q26" s="70"/>
      <c r="R26" s="70"/>
      <c r="S26" s="70"/>
      <c r="T26" s="78"/>
      <c r="U26" s="106" t="str">
        <f t="shared" ca="1" si="7"/>
        <v>A.2</v>
      </c>
      <c r="V26" s="106">
        <f t="shared" ca="1" si="8"/>
        <v>4</v>
      </c>
      <c r="W26" s="106">
        <f t="shared" ca="1" si="9"/>
        <v>1</v>
      </c>
      <c r="X26" s="106">
        <f t="shared" ca="1" si="10"/>
        <v>16</v>
      </c>
      <c r="Y26" s="77" t="str">
        <f t="shared" ca="1" si="11"/>
        <v>A.2</v>
      </c>
      <c r="AD26" s="86"/>
      <c r="AE26" s="86"/>
      <c r="AF26" s="86"/>
      <c r="AG26" s="79"/>
      <c r="AH26" s="86"/>
      <c r="AI26" s="79"/>
    </row>
    <row r="27" spans="1:35" s="77" customFormat="1" ht="60" x14ac:dyDescent="0.25">
      <c r="A27" s="68">
        <v>21</v>
      </c>
      <c r="B27" s="69" t="str">
        <f t="shared" ca="1" si="0"/>
        <v>A.2.07</v>
      </c>
      <c r="C27" s="70">
        <f t="shared" ca="1" si="1"/>
        <v>5</v>
      </c>
      <c r="D27" s="20"/>
      <c r="E27" s="91" t="str">
        <f t="shared" ca="1" si="2"/>
        <v>A.2.07</v>
      </c>
      <c r="F27" s="72" t="str">
        <f t="shared" ca="1" si="3"/>
        <v>To support your penetration testing programme, do you maintain key performance indicators for the results of the penetration tests, subscribe to information sharing platforms or services and use them to feed into the penetration testing programme?</v>
      </c>
      <c r="G27" s="195" t="str">
        <f t="shared" ca="1" si="4"/>
        <v/>
      </c>
      <c r="H27" s="195">
        <f t="shared" ca="1" si="5"/>
        <v>20</v>
      </c>
      <c r="I27" s="72" t="str">
        <f t="shared" ca="1" si="6"/>
        <v/>
      </c>
      <c r="J27" s="70"/>
      <c r="K27" s="70"/>
      <c r="L27" s="70"/>
      <c r="M27" s="70"/>
      <c r="N27" s="70"/>
      <c r="O27" s="70"/>
      <c r="P27" s="70"/>
      <c r="Q27" s="70"/>
      <c r="R27" s="70"/>
      <c r="S27" s="70"/>
      <c r="T27" s="78"/>
      <c r="U27" s="106" t="str">
        <f t="shared" ca="1" si="7"/>
        <v>A.2</v>
      </c>
      <c r="V27" s="106">
        <f t="shared" ca="1" si="8"/>
        <v>5</v>
      </c>
      <c r="W27" s="106">
        <f t="shared" ca="1" si="9"/>
        <v>1</v>
      </c>
      <c r="X27" s="106">
        <f t="shared" ca="1" si="10"/>
        <v>20</v>
      </c>
      <c r="Y27" s="77" t="str">
        <f t="shared" ca="1" si="11"/>
        <v>A.2</v>
      </c>
      <c r="AD27" s="86"/>
      <c r="AE27" s="86"/>
      <c r="AF27" s="86"/>
      <c r="AG27" s="79"/>
      <c r="AH27" s="86"/>
      <c r="AI27" s="79"/>
    </row>
    <row r="28" spans="1:35" s="77" customFormat="1" ht="30" customHeight="1" x14ac:dyDescent="0.25">
      <c r="A28" s="68">
        <v>22</v>
      </c>
      <c r="B28" s="69" t="str">
        <f t="shared" ca="1" si="0"/>
        <v>A.2.08</v>
      </c>
      <c r="C28" s="70">
        <f t="shared" ca="1" si="1"/>
        <v>5</v>
      </c>
      <c r="D28" s="20"/>
      <c r="E28" s="91" t="str">
        <f t="shared" ca="1" si="2"/>
        <v>A.2.08</v>
      </c>
      <c r="F28" s="72" t="str">
        <f t="shared" ca="1" si="3"/>
        <v>Are a series of actions taken to provide assurance about the suitability and effectiveness of your penetration testing programme?</v>
      </c>
      <c r="G28" s="195" t="str">
        <f t="shared" ca="1" si="4"/>
        <v/>
      </c>
      <c r="H28" s="195">
        <f t="shared" ca="1" si="5"/>
        <v>20</v>
      </c>
      <c r="I28" s="72" t="str">
        <f t="shared" ca="1" si="6"/>
        <v/>
      </c>
      <c r="J28" s="70"/>
      <c r="K28" s="70"/>
      <c r="L28" s="70"/>
      <c r="M28" s="70"/>
      <c r="N28" s="70"/>
      <c r="O28" s="70"/>
      <c r="P28" s="70"/>
      <c r="Q28" s="70"/>
      <c r="R28" s="70"/>
      <c r="S28" s="70"/>
      <c r="T28" s="78"/>
      <c r="U28" s="106" t="str">
        <f t="shared" ca="1" si="7"/>
        <v>A.2</v>
      </c>
      <c r="V28" s="106">
        <f t="shared" ca="1" si="8"/>
        <v>5</v>
      </c>
      <c r="W28" s="106">
        <f t="shared" ca="1" si="9"/>
        <v>1</v>
      </c>
      <c r="X28" s="106">
        <f t="shared" ca="1" si="10"/>
        <v>20</v>
      </c>
      <c r="Y28" s="77" t="str">
        <f t="shared" ca="1" si="11"/>
        <v>A.2</v>
      </c>
      <c r="AD28" s="86"/>
      <c r="AE28" s="86"/>
      <c r="AF28" s="86"/>
      <c r="AG28" s="79"/>
      <c r="AH28" s="86"/>
      <c r="AI28" s="79"/>
    </row>
    <row r="29" spans="1:35" s="77" customFormat="1" ht="45" x14ac:dyDescent="0.25">
      <c r="A29" s="68">
        <v>23</v>
      </c>
      <c r="B29" s="69" t="str">
        <f t="shared" ca="1" si="0"/>
        <v/>
      </c>
      <c r="C29" s="70">
        <f t="shared" ca="1" si="1"/>
        <v>3</v>
      </c>
      <c r="D29" s="20"/>
      <c r="E29" s="91" t="str">
        <f t="shared" ca="1" si="2"/>
        <v/>
      </c>
      <c r="F29" s="166" t="str">
        <f t="shared" ca="1" si="3"/>
        <v>Appropriate assurance actions would typically include traceability and monitoring of the programme, a continuous improvement process, and independent audits (or similar).</v>
      </c>
      <c r="G29" s="85"/>
      <c r="H29" s="85"/>
      <c r="I29" s="72"/>
      <c r="J29" s="70"/>
      <c r="K29" s="70"/>
      <c r="L29" s="70"/>
      <c r="M29" s="70"/>
      <c r="N29" s="70"/>
      <c r="O29" s="70"/>
      <c r="P29" s="70"/>
      <c r="Q29" s="70"/>
      <c r="R29" s="70"/>
      <c r="S29" s="70"/>
      <c r="T29" s="78"/>
      <c r="U29" s="78"/>
      <c r="V29" s="78"/>
      <c r="W29" s="78"/>
      <c r="X29" s="78"/>
      <c r="AD29" s="86"/>
      <c r="AE29" s="86"/>
      <c r="AF29" s="86"/>
      <c r="AG29" s="79"/>
      <c r="AH29" s="86"/>
      <c r="AI29" s="79"/>
    </row>
    <row r="30" spans="1:35" s="77" customFormat="1" ht="30" customHeight="1" x14ac:dyDescent="0.25">
      <c r="A30" s="68">
        <v>24</v>
      </c>
      <c r="B30" s="69" t="str">
        <f t="shared" ca="1" si="0"/>
        <v>A.3</v>
      </c>
      <c r="C30" s="70">
        <f t="shared" ca="1" si="1"/>
        <v>2</v>
      </c>
      <c r="D30" s="20"/>
      <c r="E30" s="111" t="str">
        <f t="shared" ca="1" si="2"/>
        <v>Step 3</v>
      </c>
      <c r="F30" s="108" t="str">
        <f t="shared" ca="1" si="3"/>
        <v>Evaluate drivers for conducting penetration tests</v>
      </c>
      <c r="G30" s="193" t="str">
        <f ca="1">"Maturity level:  "&amp;O30</f>
        <v>Maturity level:  Level 1</v>
      </c>
      <c r="H30" s="194"/>
      <c r="I30" s="172"/>
      <c r="J30" s="107"/>
      <c r="K30" s="107"/>
      <c r="L30" s="107" t="str">
        <f ca="1">TEXT(B30,"0.0")</f>
        <v>A.3</v>
      </c>
      <c r="M30" s="106">
        <f ca="1">SUMIF(Y:Y,L30,G:G)/(SUMIF(Y:Y,L30,X:X))</f>
        <v>0</v>
      </c>
      <c r="N30" s="106" t="str">
        <f ca="1">HLOOKUP(M30*100,level_ref,2,TRUE)</f>
        <v>Level 1</v>
      </c>
      <c r="O30" s="106" t="str">
        <f ca="1">IF(ISERROR(N30),"",N30)</f>
        <v>Level 1</v>
      </c>
      <c r="P30" s="106">
        <f ca="1">HLOOKUP(M30*100,level_ref,3,TRUE)</f>
        <v>1</v>
      </c>
      <c r="Q30" s="106">
        <f ca="1">IF(ISERROR(P30),"",P30)</f>
        <v>1</v>
      </c>
      <c r="R30" s="106">
        <f ca="1">M30*5</f>
        <v>0</v>
      </c>
      <c r="S30" s="106"/>
      <c r="T30" s="106"/>
      <c r="U30" s="106" t="str">
        <f ca="1">IF(AND(C30&gt;4,VLOOKUP(A30,Assess_A_Reference,34,FALSE)&lt;&gt;8),LEFT(B30,3),"")</f>
        <v/>
      </c>
      <c r="V30" s="106">
        <f ca="1">VLOOKUP(A30,Weightings_Assessments,24,FALSE)</f>
        <v>0</v>
      </c>
      <c r="W30" s="106">
        <f ca="1">IF(VLOOKUP(A30,Assess_A_Reference,34,FALSE)=8,0,1)</f>
        <v>1</v>
      </c>
      <c r="X30" s="106">
        <f ca="1">W30*V30*4</f>
        <v>0</v>
      </c>
      <c r="Y30" s="77" t="str">
        <f ca="1">AG30&amp;U30</f>
        <v/>
      </c>
      <c r="AD30" s="86"/>
      <c r="AE30" s="86"/>
      <c r="AF30" s="86"/>
      <c r="AG30" s="79"/>
      <c r="AH30" s="86"/>
      <c r="AI30" s="79"/>
    </row>
    <row r="31" spans="1:35" s="77" customFormat="1" ht="30" customHeight="1" x14ac:dyDescent="0.25">
      <c r="A31" s="68">
        <v>25</v>
      </c>
      <c r="B31" s="69" t="str">
        <f t="shared" ca="1" si="0"/>
        <v>A.3.01</v>
      </c>
      <c r="C31" s="70">
        <f t="shared" ca="1" si="1"/>
        <v>5</v>
      </c>
      <c r="D31" s="20"/>
      <c r="E31" s="91" t="str">
        <f t="shared" ca="1" si="2"/>
        <v>A.3.01</v>
      </c>
      <c r="F31" s="72" t="str">
        <f t="shared" ca="1" si="3"/>
        <v>Have you identified drivers for carrying out penetration tests as part of a technical assurance programme?</v>
      </c>
      <c r="G31" s="195" t="str">
        <f ca="1">VLOOKUP($A31,Assess_A_Reference,15,FALSE)</f>
        <v/>
      </c>
      <c r="H31" s="195">
        <f ca="1">(VLOOKUP(LEFT($B31,3),Targets_Lookup,5,FALSE))*VLOOKUP($A31,Weightings_Assessments,23,FALSE)</f>
        <v>4</v>
      </c>
      <c r="I31" s="72" t="str">
        <f ca="1">IF(VLOOKUP(A31,Assess_A_Reference,16,FALSE)=0,"",VLOOKUP(A31,Assess_A_Reference,16,FALSE))</f>
        <v/>
      </c>
      <c r="J31" s="70"/>
      <c r="K31" s="70"/>
      <c r="L31" s="70"/>
      <c r="M31" s="70"/>
      <c r="N31" s="70"/>
      <c r="O31" s="70"/>
      <c r="P31" s="70"/>
      <c r="Q31" s="70"/>
      <c r="R31" s="70"/>
      <c r="S31" s="70"/>
      <c r="T31" s="78"/>
      <c r="U31" s="106" t="str">
        <f ca="1">IF(AND(C31&gt;4,VLOOKUP(A31,Assess_A_Reference,34,FALSE)&lt;&gt;8),LEFT(B31,3),"")</f>
        <v>A.3</v>
      </c>
      <c r="V31" s="106">
        <f ca="1">VLOOKUP(A31,Weightings_Assessments,24,FALSE)</f>
        <v>1</v>
      </c>
      <c r="W31" s="106">
        <f ca="1">IF(VLOOKUP(A31,Assess_A_Reference,34,FALSE)=8,0,1)</f>
        <v>1</v>
      </c>
      <c r="X31" s="106">
        <f ca="1">W31*V31*4</f>
        <v>4</v>
      </c>
      <c r="Y31" s="77" t="str">
        <f ca="1">AG31&amp;U31</f>
        <v>A.3</v>
      </c>
      <c r="AD31" s="86"/>
      <c r="AE31" s="86"/>
      <c r="AF31" s="86"/>
      <c r="AG31" s="79"/>
      <c r="AH31" s="86"/>
      <c r="AI31" s="79"/>
    </row>
    <row r="32" spans="1:35" s="77" customFormat="1" ht="30" customHeight="1" x14ac:dyDescent="0.25">
      <c r="A32" s="68">
        <v>26</v>
      </c>
      <c r="B32" s="69" t="str">
        <f t="shared" ca="1" si="0"/>
        <v>A.3.02</v>
      </c>
      <c r="C32" s="70">
        <f t="shared" ca="1" si="1"/>
        <v>5</v>
      </c>
      <c r="D32" s="20"/>
      <c r="E32" s="91" t="str">
        <f t="shared" ca="1" si="2"/>
        <v>A.3.02</v>
      </c>
      <c r="F32" s="72" t="str">
        <f t="shared" ca="1" si="3"/>
        <v>Are your drivers for carrying out penetration tests based on an evaluation of relevant criteria?</v>
      </c>
      <c r="G32" s="195" t="str">
        <f ca="1">VLOOKUP($A32,Assess_A_Reference,15,FALSE)</f>
        <v/>
      </c>
      <c r="H32" s="195">
        <f ca="1">(VLOOKUP(LEFT($B32,3),Targets_Lookup,5,FALSE))*VLOOKUP($A32,Weightings_Assessments,23,FALSE)</f>
        <v>12</v>
      </c>
      <c r="I32" s="72" t="str">
        <f ca="1">IF(VLOOKUP(A32,Assess_A_Reference,16,FALSE)=0,"",VLOOKUP(A32,Assess_A_Reference,16,FALSE))</f>
        <v/>
      </c>
      <c r="J32" s="70"/>
      <c r="K32" s="70"/>
      <c r="L32" s="70"/>
      <c r="M32" s="70"/>
      <c r="N32" s="70"/>
      <c r="O32" s="70"/>
      <c r="P32" s="70"/>
      <c r="Q32" s="70"/>
      <c r="R32" s="70"/>
      <c r="S32" s="70"/>
      <c r="T32" s="78"/>
      <c r="U32" s="106" t="str">
        <f ca="1">IF(AND(C32&gt;4,VLOOKUP(A32,Assess_A_Reference,34,FALSE)&lt;&gt;8),LEFT(B32,3),"")</f>
        <v>A.3</v>
      </c>
      <c r="V32" s="106">
        <f ca="1">VLOOKUP(A32,Weightings_Assessments,24,FALSE)</f>
        <v>3</v>
      </c>
      <c r="W32" s="106">
        <f ca="1">IF(VLOOKUP(A32,Assess_A_Reference,34,FALSE)=8,0,1)</f>
        <v>1</v>
      </c>
      <c r="X32" s="106">
        <f ca="1">W32*V32*4</f>
        <v>12</v>
      </c>
      <c r="Y32" s="77" t="str">
        <f ca="1">AG32&amp;U32</f>
        <v>A.3</v>
      </c>
      <c r="AD32" s="86"/>
      <c r="AE32" s="86"/>
      <c r="AF32" s="86"/>
      <c r="AG32" s="79"/>
      <c r="AH32" s="86"/>
      <c r="AI32" s="79"/>
    </row>
    <row r="33" spans="1:35" s="77" customFormat="1" ht="75" x14ac:dyDescent="0.25">
      <c r="A33" s="68">
        <v>27</v>
      </c>
      <c r="B33" s="69" t="str">
        <f t="shared" ca="1" si="0"/>
        <v/>
      </c>
      <c r="C33" s="70">
        <f t="shared" ca="1" si="1"/>
        <v>3</v>
      </c>
      <c r="D33" s="20"/>
      <c r="E33" s="91" t="str">
        <f t="shared" ca="1" si="2"/>
        <v/>
      </c>
      <c r="F33" s="166" t="str">
        <f t="shared" ca="1" si="3"/>
        <v>Criteria for determining the drivers for penetration testing should include any growing requirement for compliance, the impact of serious cyber security attacks, any outsourcing services used, the introduction of new systems and services, significant changes to IT or the business and changes in the type or level of perceived threat.</v>
      </c>
      <c r="G33" s="85"/>
      <c r="H33" s="85"/>
      <c r="I33" s="72"/>
      <c r="J33" s="70"/>
      <c r="K33" s="70"/>
      <c r="L33" s="70"/>
      <c r="M33" s="70"/>
      <c r="N33" s="70"/>
      <c r="O33" s="70"/>
      <c r="P33" s="70"/>
      <c r="Q33" s="70"/>
      <c r="R33" s="70"/>
      <c r="S33" s="70"/>
      <c r="T33" s="78"/>
      <c r="U33" s="78"/>
      <c r="V33" s="78"/>
      <c r="W33" s="78"/>
      <c r="X33" s="78"/>
      <c r="AD33" s="86"/>
      <c r="AE33" s="86"/>
      <c r="AF33" s="86"/>
      <c r="AG33" s="79"/>
      <c r="AH33" s="86"/>
      <c r="AI33" s="79"/>
    </row>
    <row r="34" spans="1:35" s="77" customFormat="1" ht="60" x14ac:dyDescent="0.25">
      <c r="A34" s="68">
        <v>28</v>
      </c>
      <c r="B34" s="69" t="str">
        <f t="shared" ca="1" si="0"/>
        <v>A.3.03</v>
      </c>
      <c r="C34" s="70">
        <f t="shared" ca="1" si="1"/>
        <v>5</v>
      </c>
      <c r="D34" s="20"/>
      <c r="E34" s="91" t="str">
        <f t="shared" ca="1" si="2"/>
        <v>A.3.03</v>
      </c>
      <c r="F34" s="72" t="str">
        <f t="shared" ca="1" si="3"/>
        <v>Do your drivers for carrying out penetration tests take account of how a penetration test fits into your organisation’s overall security arrangements; the nature and direction of your business – and your risk appetite?</v>
      </c>
      <c r="G34" s="195" t="str">
        <f ca="1">VLOOKUP($A34,Assess_A_Reference,15,FALSE)</f>
        <v/>
      </c>
      <c r="H34" s="195">
        <f ca="1">(VLOOKUP(LEFT($B34,3),Targets_Lookup,5,FALSE))*VLOOKUP($A34,Weightings_Assessments,23,FALSE)</f>
        <v>16</v>
      </c>
      <c r="I34" s="72" t="str">
        <f ca="1">IF(VLOOKUP(A34,Assess_A_Reference,16,FALSE)=0,"",VLOOKUP(A34,Assess_A_Reference,16,FALSE))</f>
        <v/>
      </c>
      <c r="J34" s="70"/>
      <c r="K34" s="70"/>
      <c r="L34" s="70"/>
      <c r="M34" s="70"/>
      <c r="N34" s="70"/>
      <c r="O34" s="70"/>
      <c r="P34" s="70"/>
      <c r="Q34" s="70"/>
      <c r="R34" s="70"/>
      <c r="S34" s="70"/>
      <c r="T34" s="78"/>
      <c r="U34" s="106" t="str">
        <f t="shared" ref="U34:U44" ca="1" si="12">IF(AND(C34&gt;4,VLOOKUP(A34,Assess_A_Reference,34,FALSE)&lt;&gt;8),LEFT(B34,3),"")</f>
        <v>A.3</v>
      </c>
      <c r="V34" s="106">
        <f t="shared" ref="V34:V44" ca="1" si="13">VLOOKUP(A34,Weightings_Assessments,24,FALSE)</f>
        <v>4</v>
      </c>
      <c r="W34" s="106">
        <f t="shared" ref="W34:W44" ca="1" si="14">IF(VLOOKUP(A34,Assess_A_Reference,34,FALSE)=8,0,1)</f>
        <v>1</v>
      </c>
      <c r="X34" s="106">
        <f t="shared" ref="X34:X44" ca="1" si="15">W34*V34*4</f>
        <v>16</v>
      </c>
      <c r="Y34" s="77" t="str">
        <f t="shared" ref="Y34:Y44" ca="1" si="16">AG34&amp;U34</f>
        <v>A.3</v>
      </c>
      <c r="AD34" s="86"/>
      <c r="AE34" s="86"/>
      <c r="AF34" s="86"/>
      <c r="AG34" s="79"/>
      <c r="AH34" s="86"/>
      <c r="AI34" s="79"/>
    </row>
    <row r="35" spans="1:35" s="77" customFormat="1" ht="45" x14ac:dyDescent="0.25">
      <c r="A35" s="68">
        <v>29</v>
      </c>
      <c r="B35" s="69" t="str">
        <f t="shared" ca="1" si="0"/>
        <v>A.3.04</v>
      </c>
      <c r="C35" s="70">
        <f t="shared" ca="1" si="1"/>
        <v>5</v>
      </c>
      <c r="D35" s="20"/>
      <c r="E35" s="91" t="str">
        <f t="shared" ca="1" si="2"/>
        <v>A.3.04</v>
      </c>
      <c r="F35" s="72" t="str">
        <f t="shared" ca="1" si="3"/>
        <v>Are your drivers for carrying out penetration tests informed by findings from risk assessments, audits or reviews; analysis of security incidents; and lessons learnt from any previous penetration tests?</v>
      </c>
      <c r="G35" s="195" t="str">
        <f ca="1">VLOOKUP($A35,Assess_A_Reference,15,FALSE)</f>
        <v/>
      </c>
      <c r="H35" s="195">
        <f ca="1">(VLOOKUP(LEFT($B35,3),Targets_Lookup,5,FALSE))*VLOOKUP($A35,Weightings_Assessments,23,FALSE)</f>
        <v>12</v>
      </c>
      <c r="I35" s="72" t="str">
        <f ca="1">IF(VLOOKUP(A35,Assess_A_Reference,16,FALSE)=0,"",VLOOKUP(A35,Assess_A_Reference,16,FALSE))</f>
        <v/>
      </c>
      <c r="J35" s="70"/>
      <c r="K35" s="70"/>
      <c r="L35" s="70"/>
      <c r="M35" s="70"/>
      <c r="N35" s="70"/>
      <c r="O35" s="70"/>
      <c r="P35" s="70"/>
      <c r="Q35" s="70"/>
      <c r="R35" s="70"/>
      <c r="S35" s="70"/>
      <c r="T35" s="78"/>
      <c r="U35" s="106" t="str">
        <f t="shared" ca="1" si="12"/>
        <v>A.3</v>
      </c>
      <c r="V35" s="106">
        <f t="shared" ca="1" si="13"/>
        <v>3</v>
      </c>
      <c r="W35" s="106">
        <f t="shared" ca="1" si="14"/>
        <v>1</v>
      </c>
      <c r="X35" s="106">
        <f t="shared" ca="1" si="15"/>
        <v>12</v>
      </c>
      <c r="Y35" s="77" t="str">
        <f t="shared" ca="1" si="16"/>
        <v>A.3</v>
      </c>
      <c r="AD35" s="86"/>
      <c r="AE35" s="86"/>
      <c r="AF35" s="86"/>
      <c r="AG35" s="79"/>
      <c r="AH35" s="86"/>
      <c r="AI35" s="79"/>
    </row>
    <row r="36" spans="1:35" s="77" customFormat="1" ht="45" x14ac:dyDescent="0.25">
      <c r="A36" s="68">
        <v>30</v>
      </c>
      <c r="B36" s="69" t="str">
        <f t="shared" ca="1" si="0"/>
        <v>A.3.05</v>
      </c>
      <c r="C36" s="70">
        <f t="shared" ca="1" si="1"/>
        <v>5</v>
      </c>
      <c r="D36" s="20"/>
      <c r="E36" s="91" t="str">
        <f t="shared" ca="1" si="2"/>
        <v>A.3.05</v>
      </c>
      <c r="F36" s="72" t="str">
        <f t="shared" ca="1" si="3"/>
        <v>Have you placed your penetration tests within a wider context of security assessment and strategy to help contextualise the findings and recommendations?</v>
      </c>
      <c r="G36" s="195" t="str">
        <f ca="1">VLOOKUP($A36,Assess_A_Reference,15,FALSE)</f>
        <v/>
      </c>
      <c r="H36" s="195">
        <f ca="1">(VLOOKUP(LEFT($B36,3),Targets_Lookup,5,FALSE))*VLOOKUP($A36,Weightings_Assessments,23,FALSE)</f>
        <v>16</v>
      </c>
      <c r="I36" s="72" t="str">
        <f ca="1">IF(VLOOKUP(A36,Assess_A_Reference,16,FALSE)=0,"",VLOOKUP(A36,Assess_A_Reference,16,FALSE))</f>
        <v/>
      </c>
      <c r="J36" s="70"/>
      <c r="K36" s="70"/>
      <c r="L36" s="70"/>
      <c r="M36" s="70"/>
      <c r="N36" s="70"/>
      <c r="O36" s="70"/>
      <c r="P36" s="70"/>
      <c r="Q36" s="70"/>
      <c r="R36" s="70"/>
      <c r="S36" s="70"/>
      <c r="T36" s="78"/>
      <c r="U36" s="106" t="str">
        <f t="shared" ca="1" si="12"/>
        <v>A.3</v>
      </c>
      <c r="V36" s="106">
        <f t="shared" ca="1" si="13"/>
        <v>4</v>
      </c>
      <c r="W36" s="106">
        <f t="shared" ca="1" si="14"/>
        <v>1</v>
      </c>
      <c r="X36" s="106">
        <f t="shared" ca="1" si="15"/>
        <v>16</v>
      </c>
      <c r="Y36" s="77" t="str">
        <f t="shared" ca="1" si="16"/>
        <v>A.3</v>
      </c>
      <c r="AD36" s="86"/>
      <c r="AE36" s="86"/>
      <c r="AF36" s="86"/>
      <c r="AG36" s="79"/>
      <c r="AH36" s="86"/>
      <c r="AI36" s="79"/>
    </row>
    <row r="37" spans="1:35" s="77" customFormat="1" ht="75" x14ac:dyDescent="0.25">
      <c r="A37" s="68">
        <v>31</v>
      </c>
      <c r="B37" s="69" t="str">
        <f t="shared" ca="1" si="0"/>
        <v>A.3.06</v>
      </c>
      <c r="C37" s="70">
        <f t="shared" ca="1" si="1"/>
        <v>5</v>
      </c>
      <c r="D37" s="20"/>
      <c r="E37" s="91" t="str">
        <f t="shared" ca="1" si="2"/>
        <v>A.3.06</v>
      </c>
      <c r="F37" s="72" t="str">
        <f t="shared" ca="1" si="3"/>
        <v>Do your drivers for penetration testing help to: support the adoption of a strategic view of security management; ensure that major system vulnerabilities are identified and addressed; and reduce the risk of discovering that the same problems still exits the next time a penetration test is carried out?</v>
      </c>
      <c r="G37" s="195" t="str">
        <f ca="1">VLOOKUP($A37,Assess_A_Reference,15,FALSE)</f>
        <v/>
      </c>
      <c r="H37" s="195">
        <f ca="1">(VLOOKUP(LEFT($B37,3),Targets_Lookup,5,FALSE))*VLOOKUP($A37,Weightings_Assessments,23,FALSE)</f>
        <v>20</v>
      </c>
      <c r="I37" s="72" t="str">
        <f ca="1">IF(VLOOKUP(A37,Assess_A_Reference,16,FALSE)=0,"",VLOOKUP(A37,Assess_A_Reference,16,FALSE))</f>
        <v/>
      </c>
      <c r="J37" s="70"/>
      <c r="K37" s="70"/>
      <c r="L37" s="70"/>
      <c r="M37" s="70"/>
      <c r="N37" s="70"/>
      <c r="O37" s="70"/>
      <c r="P37" s="70"/>
      <c r="Q37" s="70"/>
      <c r="R37" s="70"/>
      <c r="S37" s="70"/>
      <c r="T37" s="78"/>
      <c r="U37" s="106" t="str">
        <f t="shared" ca="1" si="12"/>
        <v>A.3</v>
      </c>
      <c r="V37" s="106">
        <f t="shared" ca="1" si="13"/>
        <v>5</v>
      </c>
      <c r="W37" s="106">
        <f t="shared" ca="1" si="14"/>
        <v>1</v>
      </c>
      <c r="X37" s="106">
        <f t="shared" ca="1" si="15"/>
        <v>20</v>
      </c>
      <c r="Y37" s="77" t="str">
        <f t="shared" ca="1" si="16"/>
        <v>A.3</v>
      </c>
      <c r="AD37" s="86"/>
      <c r="AE37" s="86"/>
      <c r="AF37" s="86"/>
      <c r="AG37" s="79"/>
      <c r="AH37" s="86"/>
      <c r="AI37" s="79"/>
    </row>
    <row r="38" spans="1:35" s="77" customFormat="1" ht="30" customHeight="1" x14ac:dyDescent="0.25">
      <c r="A38" s="68">
        <v>32</v>
      </c>
      <c r="B38" s="69" t="str">
        <f t="shared" ca="1" si="0"/>
        <v>A.4</v>
      </c>
      <c r="C38" s="70">
        <f t="shared" ca="1" si="1"/>
        <v>2</v>
      </c>
      <c r="D38" s="20"/>
      <c r="E38" s="111" t="str">
        <f t="shared" ca="1" si="2"/>
        <v>Step 4</v>
      </c>
      <c r="F38" s="108" t="str">
        <f t="shared" ca="1" si="3"/>
        <v>Identify target environments</v>
      </c>
      <c r="G38" s="193" t="str">
        <f ca="1">"Maturity level:  "&amp;O38</f>
        <v>Maturity level:  Level 1</v>
      </c>
      <c r="H38" s="194"/>
      <c r="I38" s="172"/>
      <c r="J38" s="107"/>
      <c r="K38" s="107"/>
      <c r="L38" s="107" t="str">
        <f ca="1">TEXT(B38,"0.0")</f>
        <v>A.4</v>
      </c>
      <c r="M38" s="106">
        <f ca="1">SUMIF(Y:Y,L38,G:G)/(SUMIF(Y:Y,L38,X:X))</f>
        <v>0</v>
      </c>
      <c r="N38" s="106" t="str">
        <f ca="1">HLOOKUP(M38*100,level_ref,2,TRUE)</f>
        <v>Level 1</v>
      </c>
      <c r="O38" s="106" t="str">
        <f ca="1">IF(ISERROR(N38),"",N38)</f>
        <v>Level 1</v>
      </c>
      <c r="P38" s="106">
        <f ca="1">HLOOKUP(M38*100,level_ref,3,TRUE)</f>
        <v>1</v>
      </c>
      <c r="Q38" s="106">
        <f ca="1">IF(ISERROR(P38),"",P38)</f>
        <v>1</v>
      </c>
      <c r="R38" s="106">
        <f ca="1">M38*5</f>
        <v>0</v>
      </c>
      <c r="S38" s="106"/>
      <c r="T38" s="106"/>
      <c r="U38" s="106" t="str">
        <f t="shared" ca="1" si="12"/>
        <v/>
      </c>
      <c r="V38" s="106">
        <f t="shared" ca="1" si="13"/>
        <v>0</v>
      </c>
      <c r="W38" s="106">
        <f t="shared" ca="1" si="14"/>
        <v>1</v>
      </c>
      <c r="X38" s="106">
        <f t="shared" ca="1" si="15"/>
        <v>0</v>
      </c>
      <c r="Y38" s="77" t="str">
        <f t="shared" ca="1" si="16"/>
        <v/>
      </c>
      <c r="AD38" s="86"/>
      <c r="AE38" s="86"/>
      <c r="AF38" s="86"/>
      <c r="AG38" s="79"/>
      <c r="AH38" s="86"/>
      <c r="AI38" s="79"/>
    </row>
    <row r="39" spans="1:35" s="77" customFormat="1" ht="30" customHeight="1" x14ac:dyDescent="0.25">
      <c r="A39" s="68">
        <v>33</v>
      </c>
      <c r="B39" s="69" t="str">
        <f t="shared" ca="1" si="0"/>
        <v>A.4.01</v>
      </c>
      <c r="C39" s="70">
        <f t="shared" ca="1" si="1"/>
        <v>5</v>
      </c>
      <c r="D39" s="20"/>
      <c r="E39" s="91" t="str">
        <f t="shared" ca="1" si="2"/>
        <v>A.4.01</v>
      </c>
      <c r="F39" s="72" t="str">
        <f t="shared" ca="1" si="3"/>
        <v>Have you identified target environments that need to be subject to penetration testing, such as critical web applications and important IT infrastructure?</v>
      </c>
      <c r="G39" s="195" t="str">
        <f t="shared" ref="G39:G44" ca="1" si="17">VLOOKUP($A39,Assess_A_Reference,15,FALSE)</f>
        <v/>
      </c>
      <c r="H39" s="195">
        <f t="shared" ref="H39:H44" ca="1" si="18">(VLOOKUP(LEFT($B39,3),Targets_Lookup,5,FALSE))*VLOOKUP($A39,Weightings_Assessments,23,FALSE)</f>
        <v>4</v>
      </c>
      <c r="I39" s="72" t="str">
        <f t="shared" ref="I39:I44" ca="1" si="19">IF(VLOOKUP(A39,Assess_A_Reference,16,FALSE)=0,"",VLOOKUP(A39,Assess_A_Reference,16,FALSE))</f>
        <v/>
      </c>
      <c r="J39" s="70"/>
      <c r="K39" s="70"/>
      <c r="L39" s="70"/>
      <c r="M39" s="70"/>
      <c r="N39" s="70"/>
      <c r="O39" s="70"/>
      <c r="P39" s="70"/>
      <c r="Q39" s="70"/>
      <c r="R39" s="70"/>
      <c r="S39" s="70"/>
      <c r="T39" s="78"/>
      <c r="U39" s="106" t="str">
        <f t="shared" ca="1" si="12"/>
        <v>A.4</v>
      </c>
      <c r="V39" s="106">
        <f t="shared" ca="1" si="13"/>
        <v>1</v>
      </c>
      <c r="W39" s="106">
        <f t="shared" ca="1" si="14"/>
        <v>1</v>
      </c>
      <c r="X39" s="106">
        <f t="shared" ca="1" si="15"/>
        <v>4</v>
      </c>
      <c r="Y39" s="77" t="str">
        <f t="shared" ca="1" si="16"/>
        <v>A.4</v>
      </c>
      <c r="AD39" s="86"/>
      <c r="AE39" s="86"/>
      <c r="AF39" s="86"/>
      <c r="AG39" s="79"/>
      <c r="AH39" s="86"/>
      <c r="AI39" s="79"/>
    </row>
    <row r="40" spans="1:35" s="77" customFormat="1" ht="60" x14ac:dyDescent="0.25">
      <c r="A40" s="68">
        <v>34</v>
      </c>
      <c r="B40" s="69" t="str">
        <f t="shared" ref="B40:B71" ca="1" si="20">VLOOKUP(A40,Contents_Text,2,FALSE)</f>
        <v>A.4.02</v>
      </c>
      <c r="C40" s="70">
        <f t="shared" ref="C40:C76" ca="1" si="21">VLOOKUP(A40,Contents_Text,15,FALSE)</f>
        <v>5</v>
      </c>
      <c r="D40" s="20"/>
      <c r="E40" s="91" t="str">
        <f t="shared" ref="E40:E76" ca="1" si="22">IF(C40=1,"Phase "&amp;B40,IF(C40=2,"Step "&amp;VLOOKUP(A40,Contents_Text,4,FALSE),B40))</f>
        <v>A.4.02</v>
      </c>
      <c r="F40" s="72" t="str">
        <f t="shared" ref="F40:F76" ca="1" si="23">VLOOKUP(A40,Contents_Text,7,FALSE)</f>
        <v>Does your identification of the target environment take into account business processes; web applications; key parts of IT infrastructure and specialised equipment (e.g. mobile devices and process control systems)?</v>
      </c>
      <c r="G40" s="195" t="str">
        <f t="shared" ca="1" si="17"/>
        <v/>
      </c>
      <c r="H40" s="195">
        <f t="shared" ca="1" si="18"/>
        <v>8</v>
      </c>
      <c r="I40" s="72" t="str">
        <f t="shared" ca="1" si="19"/>
        <v/>
      </c>
      <c r="J40" s="70"/>
      <c r="K40" s="70"/>
      <c r="L40" s="70"/>
      <c r="M40" s="70"/>
      <c r="N40" s="70"/>
      <c r="O40" s="70"/>
      <c r="P40" s="70"/>
      <c r="Q40" s="70"/>
      <c r="R40" s="70"/>
      <c r="S40" s="70"/>
      <c r="T40" s="78"/>
      <c r="U40" s="106" t="str">
        <f t="shared" ca="1" si="12"/>
        <v>A.4</v>
      </c>
      <c r="V40" s="106">
        <f t="shared" ca="1" si="13"/>
        <v>2</v>
      </c>
      <c r="W40" s="106">
        <f t="shared" ca="1" si="14"/>
        <v>1</v>
      </c>
      <c r="X40" s="106">
        <f t="shared" ca="1" si="15"/>
        <v>8</v>
      </c>
      <c r="Y40" s="77" t="str">
        <f t="shared" ca="1" si="16"/>
        <v>A.4</v>
      </c>
      <c r="AD40" s="86"/>
      <c r="AE40" s="86"/>
      <c r="AF40" s="86"/>
      <c r="AG40" s="79"/>
      <c r="AH40" s="86"/>
      <c r="AI40" s="79"/>
    </row>
    <row r="41" spans="1:35" s="77" customFormat="1" ht="60" x14ac:dyDescent="0.25">
      <c r="A41" s="68">
        <v>35</v>
      </c>
      <c r="B41" s="69" t="str">
        <f t="shared" ca="1" si="20"/>
        <v>A.4.03</v>
      </c>
      <c r="C41" s="70">
        <f t="shared" ca="1" si="21"/>
        <v>5</v>
      </c>
      <c r="D41" s="20"/>
      <c r="E41" s="91" t="str">
        <f t="shared" ca="1" si="22"/>
        <v>A.4.03</v>
      </c>
      <c r="F41" s="72" t="str">
        <f t="shared" ca="1" si="23"/>
        <v>Does your identification of the target environment consider system criticality; compliance requirements; major business or it services; critical systems under development; and outsourced services (e.g. cloud computing)?</v>
      </c>
      <c r="G41" s="195" t="str">
        <f t="shared" ca="1" si="17"/>
        <v/>
      </c>
      <c r="H41" s="195">
        <f t="shared" ca="1" si="18"/>
        <v>12</v>
      </c>
      <c r="I41" s="72" t="str">
        <f t="shared" ca="1" si="19"/>
        <v/>
      </c>
      <c r="J41" s="70"/>
      <c r="K41" s="70"/>
      <c r="L41" s="70"/>
      <c r="M41" s="70"/>
      <c r="N41" s="70"/>
      <c r="O41" s="70"/>
      <c r="P41" s="70"/>
      <c r="Q41" s="70"/>
      <c r="R41" s="70"/>
      <c r="S41" s="70"/>
      <c r="T41" s="78"/>
      <c r="U41" s="106" t="str">
        <f t="shared" ca="1" si="12"/>
        <v>A.4</v>
      </c>
      <c r="V41" s="106">
        <f t="shared" ca="1" si="13"/>
        <v>3</v>
      </c>
      <c r="W41" s="106">
        <f t="shared" ca="1" si="14"/>
        <v>1</v>
      </c>
      <c r="X41" s="106">
        <f t="shared" ca="1" si="15"/>
        <v>12</v>
      </c>
      <c r="Y41" s="77" t="str">
        <f t="shared" ca="1" si="16"/>
        <v>A.4</v>
      </c>
      <c r="AD41" s="86"/>
      <c r="AE41" s="86"/>
      <c r="AF41" s="86"/>
      <c r="AG41" s="79"/>
      <c r="AH41" s="86"/>
      <c r="AI41" s="79"/>
    </row>
    <row r="42" spans="1:35" s="77" customFormat="1" ht="60" x14ac:dyDescent="0.25">
      <c r="A42" s="68">
        <v>36</v>
      </c>
      <c r="B42" s="69" t="str">
        <f t="shared" ca="1" si="20"/>
        <v>A.4.04</v>
      </c>
      <c r="C42" s="70">
        <f t="shared" ca="1" si="21"/>
        <v>5</v>
      </c>
      <c r="D42" s="20"/>
      <c r="E42" s="91" t="str">
        <f t="shared" ca="1" si="22"/>
        <v>A.4.04</v>
      </c>
      <c r="F42" s="72" t="str">
        <f t="shared" ca="1" si="23"/>
        <v>Does your identification of the target environment include a risk assessment of your organisation’s critical information and systems – and ensure that the testing planned will focus on the assets which pose the highest risk to your organisation?</v>
      </c>
      <c r="G42" s="195" t="str">
        <f t="shared" ca="1" si="17"/>
        <v/>
      </c>
      <c r="H42" s="195">
        <f t="shared" ca="1" si="18"/>
        <v>16</v>
      </c>
      <c r="I42" s="72" t="str">
        <f t="shared" ca="1" si="19"/>
        <v/>
      </c>
      <c r="J42" s="70"/>
      <c r="K42" s="70"/>
      <c r="L42" s="70"/>
      <c r="M42" s="70"/>
      <c r="N42" s="70"/>
      <c r="O42" s="70"/>
      <c r="P42" s="70"/>
      <c r="Q42" s="70"/>
      <c r="R42" s="70"/>
      <c r="S42" s="70"/>
      <c r="T42" s="78"/>
      <c r="U42" s="106" t="str">
        <f t="shared" ca="1" si="12"/>
        <v>A.4</v>
      </c>
      <c r="V42" s="106">
        <f t="shared" ca="1" si="13"/>
        <v>4</v>
      </c>
      <c r="W42" s="106">
        <f t="shared" ca="1" si="14"/>
        <v>1</v>
      </c>
      <c r="X42" s="106">
        <f t="shared" ca="1" si="15"/>
        <v>16</v>
      </c>
      <c r="Y42" s="77" t="str">
        <f t="shared" ca="1" si="16"/>
        <v>A.4</v>
      </c>
      <c r="AD42" s="86"/>
      <c r="AE42" s="86"/>
      <c r="AF42" s="86"/>
      <c r="AG42" s="79"/>
      <c r="AH42" s="86"/>
      <c r="AI42" s="79"/>
    </row>
    <row r="43" spans="1:35" s="77" customFormat="1" ht="60" x14ac:dyDescent="0.25">
      <c r="A43" s="68">
        <v>37</v>
      </c>
      <c r="B43" s="69" t="str">
        <f t="shared" ca="1" si="20"/>
        <v>A.4.05</v>
      </c>
      <c r="C43" s="70">
        <f t="shared" ca="1" si="21"/>
        <v>5</v>
      </c>
      <c r="D43" s="20"/>
      <c r="E43" s="91" t="str">
        <f t="shared" ca="1" si="22"/>
        <v>A.4.05</v>
      </c>
      <c r="F43" s="72" t="str">
        <f t="shared" ca="1" si="23"/>
        <v>Does your identification of the target environment take into account significant changes to critical business processes, business applications, IT infrastructure and business environments (e.g. in particular business units or jurisdictions)?</v>
      </c>
      <c r="G43" s="195" t="str">
        <f t="shared" ca="1" si="17"/>
        <v/>
      </c>
      <c r="H43" s="195">
        <f t="shared" ca="1" si="18"/>
        <v>16</v>
      </c>
      <c r="I43" s="72" t="str">
        <f t="shared" ca="1" si="19"/>
        <v/>
      </c>
      <c r="J43" s="70"/>
      <c r="K43" s="70"/>
      <c r="L43" s="70"/>
      <c r="M43" s="70"/>
      <c r="N43" s="70"/>
      <c r="O43" s="70"/>
      <c r="P43" s="70"/>
      <c r="Q43" s="70"/>
      <c r="R43" s="70"/>
      <c r="S43" s="70"/>
      <c r="T43" s="78"/>
      <c r="U43" s="106" t="str">
        <f t="shared" ca="1" si="12"/>
        <v>A.4</v>
      </c>
      <c r="V43" s="106">
        <f t="shared" ca="1" si="13"/>
        <v>4</v>
      </c>
      <c r="W43" s="106">
        <f t="shared" ca="1" si="14"/>
        <v>1</v>
      </c>
      <c r="X43" s="106">
        <f t="shared" ca="1" si="15"/>
        <v>16</v>
      </c>
      <c r="Y43" s="77" t="str">
        <f t="shared" ca="1" si="16"/>
        <v>A.4</v>
      </c>
      <c r="AD43" s="86"/>
      <c r="AE43" s="86"/>
      <c r="AF43" s="86"/>
      <c r="AG43" s="79"/>
      <c r="AH43" s="86"/>
      <c r="AI43" s="79"/>
    </row>
    <row r="44" spans="1:35" s="77" customFormat="1" ht="30" customHeight="1" x14ac:dyDescent="0.25">
      <c r="A44" s="68">
        <v>38</v>
      </c>
      <c r="B44" s="69" t="str">
        <f t="shared" ca="1" si="20"/>
        <v>A.4.06</v>
      </c>
      <c r="C44" s="70">
        <f t="shared" ca="1" si="21"/>
        <v>5</v>
      </c>
      <c r="D44" s="20"/>
      <c r="E44" s="91" t="str">
        <f t="shared" ca="1" si="22"/>
        <v>A.4.06</v>
      </c>
      <c r="F44" s="72" t="str">
        <f t="shared" ca="1" si="23"/>
        <v>Have penetration testing requirements been built into relevant stages of systems development lifecycles (SDLC) in use by your organisation?</v>
      </c>
      <c r="G44" s="195" t="str">
        <f t="shared" ca="1" si="17"/>
        <v/>
      </c>
      <c r="H44" s="195">
        <f t="shared" ca="1" si="18"/>
        <v>16</v>
      </c>
      <c r="I44" s="72" t="str">
        <f t="shared" ca="1" si="19"/>
        <v/>
      </c>
      <c r="J44" s="70"/>
      <c r="K44" s="70"/>
      <c r="L44" s="70"/>
      <c r="M44" s="70"/>
      <c r="N44" s="70"/>
      <c r="O44" s="70"/>
      <c r="P44" s="70"/>
      <c r="Q44" s="70"/>
      <c r="R44" s="70"/>
      <c r="S44" s="70"/>
      <c r="T44" s="78"/>
      <c r="U44" s="106" t="str">
        <f t="shared" ca="1" si="12"/>
        <v>A.4</v>
      </c>
      <c r="V44" s="106">
        <f t="shared" ca="1" si="13"/>
        <v>4</v>
      </c>
      <c r="W44" s="106">
        <f t="shared" ca="1" si="14"/>
        <v>1</v>
      </c>
      <c r="X44" s="106">
        <f t="shared" ca="1" si="15"/>
        <v>16</v>
      </c>
      <c r="Y44" s="77" t="str">
        <f t="shared" ca="1" si="16"/>
        <v>A.4</v>
      </c>
      <c r="AD44" s="86"/>
      <c r="AE44" s="86"/>
      <c r="AF44" s="86"/>
      <c r="AG44" s="79"/>
      <c r="AH44" s="86"/>
      <c r="AI44" s="79"/>
    </row>
    <row r="45" spans="1:35" s="77" customFormat="1" ht="30" customHeight="1" x14ac:dyDescent="0.25">
      <c r="A45" s="68">
        <v>39</v>
      </c>
      <c r="B45" s="69" t="str">
        <f t="shared" ca="1" si="20"/>
        <v/>
      </c>
      <c r="C45" s="70">
        <f t="shared" ca="1" si="21"/>
        <v>3</v>
      </c>
      <c r="D45" s="20"/>
      <c r="E45" s="91" t="str">
        <f t="shared" ca="1" si="22"/>
        <v/>
      </c>
      <c r="F45" s="166" t="str">
        <f t="shared" ca="1" si="23"/>
        <v>Consideration should be given to conducting penetration tests during the testing stage; implementation stage; and during live operation.</v>
      </c>
      <c r="G45" s="85"/>
      <c r="H45" s="85"/>
      <c r="I45" s="72"/>
      <c r="J45" s="70"/>
      <c r="K45" s="70"/>
      <c r="L45" s="70"/>
      <c r="M45" s="70"/>
      <c r="N45" s="70"/>
      <c r="O45" s="70"/>
      <c r="P45" s="70"/>
      <c r="Q45" s="70"/>
      <c r="R45" s="70"/>
      <c r="S45" s="70"/>
      <c r="T45" s="78"/>
      <c r="U45" s="78"/>
      <c r="V45" s="78"/>
      <c r="W45" s="78"/>
      <c r="X45" s="78"/>
      <c r="AD45" s="86"/>
      <c r="AE45" s="86"/>
      <c r="AF45" s="86"/>
      <c r="AG45" s="79"/>
      <c r="AH45" s="86"/>
      <c r="AI45" s="79"/>
    </row>
    <row r="46" spans="1:35" s="77" customFormat="1" ht="30" customHeight="1" x14ac:dyDescent="0.25">
      <c r="A46" s="68">
        <v>40</v>
      </c>
      <c r="B46" s="69" t="str">
        <f t="shared" ca="1" si="20"/>
        <v>A.4.07</v>
      </c>
      <c r="C46" s="70">
        <f t="shared" ca="1" si="21"/>
        <v>5</v>
      </c>
      <c r="D46" s="20"/>
      <c r="E46" s="91" t="str">
        <f t="shared" ca="1" si="22"/>
        <v>A.4.07</v>
      </c>
      <c r="F46" s="72" t="str">
        <f t="shared" ca="1" si="23"/>
        <v>Have you gained permission to test important systems / environments controlled by third parties?</v>
      </c>
      <c r="G46" s="195" t="str">
        <f ca="1">VLOOKUP($A46,Assess_A_Reference,15,FALSE)</f>
        <v/>
      </c>
      <c r="H46" s="195">
        <f ca="1">(VLOOKUP(LEFT($B46,3),Targets_Lookup,5,FALSE))*VLOOKUP($A46,Weightings_Assessments,23,FALSE)</f>
        <v>20</v>
      </c>
      <c r="I46" s="72" t="str">
        <f ca="1">IF(VLOOKUP(A46,Assess_A_Reference,16,FALSE)=0,"",VLOOKUP(A46,Assess_A_Reference,16,FALSE))</f>
        <v/>
      </c>
      <c r="J46" s="70"/>
      <c r="K46" s="70"/>
      <c r="L46" s="70"/>
      <c r="M46" s="70"/>
      <c r="N46" s="70"/>
      <c r="O46" s="70"/>
      <c r="P46" s="70"/>
      <c r="Q46" s="70"/>
      <c r="R46" s="70"/>
      <c r="S46" s="70"/>
      <c r="T46" s="78"/>
      <c r="U46" s="106" t="str">
        <f ca="1">IF(AND(C46&gt;4,VLOOKUP(A46,Assess_A_Reference,34,FALSE)&lt;&gt;8),LEFT(B46,3),"")</f>
        <v>A.4</v>
      </c>
      <c r="V46" s="106">
        <f ca="1">VLOOKUP(A46,Weightings_Assessments,24,FALSE)</f>
        <v>5</v>
      </c>
      <c r="W46" s="106">
        <f ca="1">IF(VLOOKUP(A46,Assess_A_Reference,34,FALSE)=8,0,1)</f>
        <v>1</v>
      </c>
      <c r="X46" s="106">
        <f ca="1">W46*V46*4</f>
        <v>20</v>
      </c>
      <c r="Y46" s="77" t="str">
        <f ca="1">AG46&amp;U46</f>
        <v>A.4</v>
      </c>
      <c r="AD46" s="86"/>
      <c r="AE46" s="86"/>
      <c r="AF46" s="86"/>
      <c r="AG46" s="79"/>
      <c r="AH46" s="86"/>
      <c r="AI46" s="79"/>
    </row>
    <row r="47" spans="1:35" s="77" customFormat="1" ht="75" x14ac:dyDescent="0.25">
      <c r="A47" s="68">
        <v>41</v>
      </c>
      <c r="B47" s="69" t="str">
        <f t="shared" ca="1" si="20"/>
        <v/>
      </c>
      <c r="C47" s="70">
        <f t="shared" ca="1" si="21"/>
        <v>3</v>
      </c>
      <c r="D47" s="20"/>
      <c r="E47" s="91" t="str">
        <f t="shared" ca="1" si="22"/>
        <v/>
      </c>
      <c r="F47" s="166" t="str">
        <f t="shared" ca="1" si="23"/>
        <v>If you are not permitted to test important systems / environments controlled by third parties, you should gain assurances that appropriate penetration tests are regularly carried out; tests are conducted by suitably qualified staff working for a certified organisation; and recommendations from the tests are acted upon.</v>
      </c>
      <c r="G47" s="85"/>
      <c r="H47" s="85"/>
      <c r="I47" s="72"/>
      <c r="J47" s="70"/>
      <c r="K47" s="70"/>
      <c r="L47" s="70"/>
      <c r="M47" s="70"/>
      <c r="N47" s="70"/>
      <c r="O47" s="70"/>
      <c r="P47" s="70"/>
      <c r="Q47" s="70"/>
      <c r="R47" s="70"/>
      <c r="S47" s="70"/>
      <c r="T47" s="78"/>
      <c r="U47" s="78"/>
      <c r="V47" s="78"/>
      <c r="W47" s="78"/>
      <c r="X47" s="78"/>
      <c r="AD47" s="86"/>
      <c r="AE47" s="86"/>
      <c r="AF47" s="86"/>
      <c r="AG47" s="79"/>
      <c r="AH47" s="86"/>
      <c r="AI47" s="79"/>
    </row>
    <row r="48" spans="1:35" s="77" customFormat="1" ht="30" customHeight="1" x14ac:dyDescent="0.25">
      <c r="A48" s="68">
        <v>42</v>
      </c>
      <c r="B48" s="69" t="str">
        <f t="shared" ca="1" si="20"/>
        <v>A.5</v>
      </c>
      <c r="C48" s="70">
        <f t="shared" ca="1" si="21"/>
        <v>2</v>
      </c>
      <c r="D48" s="20"/>
      <c r="E48" s="111" t="str">
        <f t="shared" ca="1" si="22"/>
        <v>Step 5</v>
      </c>
      <c r="F48" s="108" t="str">
        <f t="shared" ca="1" si="23"/>
        <v>Define the purpose of the penetration tests</v>
      </c>
      <c r="G48" s="193" t="str">
        <f ca="1">"Maturity level:  "&amp;O48</f>
        <v>Maturity level:  Level 1</v>
      </c>
      <c r="H48" s="194"/>
      <c r="I48" s="172"/>
      <c r="J48" s="107"/>
      <c r="K48" s="107"/>
      <c r="L48" s="107" t="str">
        <f ca="1">TEXT(B48,"0.0")</f>
        <v>A.5</v>
      </c>
      <c r="M48" s="106">
        <f ca="1">SUMIF(Y:Y,L48,G:G)/(SUMIF(Y:Y,L48,X:X))</f>
        <v>0</v>
      </c>
      <c r="N48" s="106" t="str">
        <f ca="1">HLOOKUP(M48*100,level_ref,2,TRUE)</f>
        <v>Level 1</v>
      </c>
      <c r="O48" s="106" t="str">
        <f ca="1">IF(ISERROR(N48),"",N48)</f>
        <v>Level 1</v>
      </c>
      <c r="P48" s="106">
        <f ca="1">HLOOKUP(M48*100,level_ref,3,TRUE)</f>
        <v>1</v>
      </c>
      <c r="Q48" s="106">
        <f ca="1">IF(ISERROR(P48),"",P48)</f>
        <v>1</v>
      </c>
      <c r="R48" s="106">
        <f ca="1">M48*5</f>
        <v>0</v>
      </c>
      <c r="S48" s="106"/>
      <c r="T48" s="106"/>
      <c r="U48" s="106" t="str">
        <f ca="1">IF(AND(C48&gt;4,VLOOKUP(A48,Assess_A_Reference,34,FALSE)&lt;&gt;8),LEFT(B48,3),"")</f>
        <v/>
      </c>
      <c r="V48" s="106">
        <f ca="1">VLOOKUP(A48,Weightings_Assessments,24,FALSE)</f>
        <v>0</v>
      </c>
      <c r="W48" s="106">
        <f ca="1">IF(VLOOKUP(A48,Assess_A_Reference,34,FALSE)=8,0,1)</f>
        <v>1</v>
      </c>
      <c r="X48" s="106">
        <f ca="1">W48*V48*4</f>
        <v>0</v>
      </c>
      <c r="Y48" s="77" t="str">
        <f ca="1">AG48&amp;U48</f>
        <v/>
      </c>
      <c r="AD48" s="86"/>
      <c r="AE48" s="86"/>
      <c r="AF48" s="86"/>
      <c r="AG48" s="79"/>
      <c r="AH48" s="86"/>
      <c r="AI48" s="79"/>
    </row>
    <row r="49" spans="1:35" s="77" customFormat="1" ht="30" customHeight="1" x14ac:dyDescent="0.25">
      <c r="A49" s="68">
        <v>43</v>
      </c>
      <c r="B49" s="69" t="str">
        <f t="shared" ca="1" si="20"/>
        <v>A.5.01</v>
      </c>
      <c r="C49" s="70">
        <f t="shared" ca="1" si="21"/>
        <v>5</v>
      </c>
      <c r="D49" s="20"/>
      <c r="E49" s="91" t="str">
        <f t="shared" ca="1" si="22"/>
        <v>A.5.01</v>
      </c>
      <c r="F49" s="72" t="str">
        <f t="shared" ca="1" si="23"/>
        <v>Do you define the purpose of penetration tests, and assess how these tests can help your organisation?</v>
      </c>
      <c r="G49" s="195" t="str">
        <f ca="1">VLOOKUP($A49,Assess_A_Reference,15,FALSE)</f>
        <v/>
      </c>
      <c r="H49" s="195">
        <f ca="1">(VLOOKUP(LEFT($B49,3),Targets_Lookup,5,FALSE))*VLOOKUP($A49,Weightings_Assessments,23,FALSE)</f>
        <v>12</v>
      </c>
      <c r="I49" s="72" t="str">
        <f ca="1">IF(VLOOKUP(A49,Assess_A_Reference,16,FALSE)=0,"",VLOOKUP(A49,Assess_A_Reference,16,FALSE))</f>
        <v/>
      </c>
      <c r="J49" s="70"/>
      <c r="K49" s="70"/>
      <c r="L49" s="70"/>
      <c r="M49" s="70"/>
      <c r="N49" s="70"/>
      <c r="O49" s="70"/>
      <c r="P49" s="70"/>
      <c r="Q49" s="70"/>
      <c r="R49" s="70"/>
      <c r="S49" s="70"/>
      <c r="T49" s="78"/>
      <c r="U49" s="106" t="str">
        <f ca="1">IF(AND(C49&gt;4,VLOOKUP(A49,Assess_A_Reference,34,FALSE)&lt;&gt;8),LEFT(B49,3),"")</f>
        <v>A.5</v>
      </c>
      <c r="V49" s="106">
        <f ca="1">VLOOKUP(A49,Weightings_Assessments,24,FALSE)</f>
        <v>3</v>
      </c>
      <c r="W49" s="106">
        <f ca="1">IF(VLOOKUP(A49,Assess_A_Reference,34,FALSE)=8,0,1)</f>
        <v>1</v>
      </c>
      <c r="X49" s="106">
        <f ca="1">W49*V49*4</f>
        <v>12</v>
      </c>
      <c r="Y49" s="77" t="str">
        <f ca="1">AG49&amp;U49</f>
        <v>A.5</v>
      </c>
      <c r="AD49" s="86"/>
      <c r="AE49" s="86"/>
      <c r="AF49" s="86"/>
      <c r="AG49" s="79"/>
      <c r="AH49" s="86"/>
      <c r="AI49" s="79"/>
    </row>
    <row r="50" spans="1:35" s="77" customFormat="1" ht="105" x14ac:dyDescent="0.25">
      <c r="A50" s="68">
        <v>44</v>
      </c>
      <c r="B50" s="69" t="str">
        <f t="shared" ca="1" si="20"/>
        <v/>
      </c>
      <c r="C50" s="70">
        <f t="shared" ca="1" si="21"/>
        <v>3</v>
      </c>
      <c r="D50" s="20"/>
      <c r="E50" s="91" t="str">
        <f t="shared" ca="1" si="22"/>
        <v/>
      </c>
      <c r="F50" s="166" t="str">
        <f t="shared" ca="1" si="23"/>
        <v>A well-defined penetration tests should help your organisation to identify weaknesses in your security controls; reduce the frequency and impact of security incidents; comply with legal and regulatory requirements; provide assurance to third parties that business applications can be trusted and that customer data is adequately protected; and limit liabilities if things go wrong, or if there is a court case (i.e. take ‘reasonable’ precautions).</v>
      </c>
      <c r="G50" s="85"/>
      <c r="H50" s="85"/>
      <c r="I50" s="72"/>
      <c r="J50" s="70"/>
      <c r="K50" s="70"/>
      <c r="L50" s="70"/>
      <c r="M50" s="70"/>
      <c r="N50" s="70"/>
      <c r="O50" s="70"/>
      <c r="P50" s="70"/>
      <c r="Q50" s="70"/>
      <c r="R50" s="70"/>
      <c r="S50" s="70"/>
      <c r="T50" s="78"/>
      <c r="U50" s="78"/>
      <c r="V50" s="78"/>
      <c r="W50" s="78"/>
      <c r="X50" s="78"/>
      <c r="AD50" s="86"/>
      <c r="AE50" s="86"/>
      <c r="AF50" s="86"/>
      <c r="AG50" s="79"/>
      <c r="AH50" s="86"/>
      <c r="AI50" s="79"/>
    </row>
    <row r="51" spans="1:35" s="77" customFormat="1" ht="30" customHeight="1" x14ac:dyDescent="0.25">
      <c r="A51" s="68">
        <v>45</v>
      </c>
      <c r="B51" s="69" t="str">
        <f t="shared" ca="1" si="20"/>
        <v>A.5.02</v>
      </c>
      <c r="C51" s="70">
        <f t="shared" ca="1" si="21"/>
        <v>5</v>
      </c>
      <c r="D51" s="20"/>
      <c r="E51" s="91" t="str">
        <f t="shared" ca="1" si="22"/>
        <v>A.5.02</v>
      </c>
      <c r="F51" s="72" t="str">
        <f t="shared" ca="1" si="23"/>
        <v>Do you determine what penetration testing will help you to achieve (i.e. the benefits)?</v>
      </c>
      <c r="G51" s="195" t="str">
        <f ca="1">VLOOKUP($A51,Assess_A_Reference,15,FALSE)</f>
        <v/>
      </c>
      <c r="H51" s="195">
        <f ca="1">(VLOOKUP(LEFT($B51,3),Targets_Lookup,5,FALSE))*VLOOKUP($A51,Weightings_Assessments,23,FALSE)</f>
        <v>20</v>
      </c>
      <c r="I51" s="72" t="str">
        <f ca="1">IF(VLOOKUP(A51,Assess_A_Reference,16,FALSE)=0,"",VLOOKUP(A51,Assess_A_Reference,16,FALSE))</f>
        <v/>
      </c>
      <c r="J51" s="70"/>
      <c r="K51" s="70"/>
      <c r="L51" s="70"/>
      <c r="M51" s="70"/>
      <c r="N51" s="70"/>
      <c r="O51" s="70"/>
      <c r="P51" s="70"/>
      <c r="Q51" s="70"/>
      <c r="R51" s="70"/>
      <c r="S51" s="70"/>
      <c r="T51" s="78"/>
      <c r="U51" s="106" t="str">
        <f ca="1">IF(AND(C51&gt;4,VLOOKUP(A51,Assess_A_Reference,34,FALSE)&lt;&gt;8),LEFT(B51,3),"")</f>
        <v>A.5</v>
      </c>
      <c r="V51" s="106">
        <f ca="1">VLOOKUP(A51,Weightings_Assessments,24,FALSE)</f>
        <v>5</v>
      </c>
      <c r="W51" s="106">
        <f ca="1">IF(VLOOKUP(A51,Assess_A_Reference,34,FALSE)=8,0,1)</f>
        <v>1</v>
      </c>
      <c r="X51" s="106">
        <f ca="1">W51*V51*4</f>
        <v>20</v>
      </c>
      <c r="Y51" s="77" t="str">
        <f ca="1">AG51&amp;U51</f>
        <v>A.5</v>
      </c>
      <c r="AD51" s="86"/>
      <c r="AE51" s="86"/>
      <c r="AF51" s="86"/>
      <c r="AG51" s="79"/>
      <c r="AH51" s="86"/>
      <c r="AI51" s="79"/>
    </row>
    <row r="52" spans="1:35" s="77" customFormat="1" ht="45" x14ac:dyDescent="0.25">
      <c r="A52" s="68">
        <v>46</v>
      </c>
      <c r="B52" s="69" t="str">
        <f t="shared" ca="1" si="20"/>
        <v/>
      </c>
      <c r="C52" s="70">
        <f t="shared" ca="1" si="21"/>
        <v>3</v>
      </c>
      <c r="D52" s="20"/>
      <c r="E52" s="91" t="str">
        <f t="shared" ca="1" si="22"/>
        <v/>
      </c>
      <c r="F52" s="166" t="str">
        <f t="shared" ca="1" si="23"/>
        <v>Benefits of penetration tests can include IT cost reductions; technical and business improvements; as well as greater awareness of security risks and controls.</v>
      </c>
      <c r="G52" s="85"/>
      <c r="H52" s="85"/>
      <c r="I52" s="72"/>
      <c r="J52" s="70"/>
      <c r="K52" s="70"/>
      <c r="L52" s="70"/>
      <c r="M52" s="70"/>
      <c r="N52" s="70"/>
      <c r="O52" s="70"/>
      <c r="P52" s="70"/>
      <c r="Q52" s="70"/>
      <c r="R52" s="70"/>
      <c r="S52" s="70"/>
      <c r="T52" s="78"/>
      <c r="U52" s="78"/>
      <c r="V52" s="78"/>
      <c r="W52" s="78"/>
      <c r="X52" s="78"/>
      <c r="AD52" s="86"/>
      <c r="AE52" s="86"/>
      <c r="AF52" s="86"/>
      <c r="AG52" s="79"/>
      <c r="AH52" s="86"/>
      <c r="AI52" s="79"/>
    </row>
    <row r="53" spans="1:35" s="77" customFormat="1" ht="30" customHeight="1" x14ac:dyDescent="0.25">
      <c r="A53" s="68">
        <v>47</v>
      </c>
      <c r="B53" s="69" t="str">
        <f t="shared" ca="1" si="20"/>
        <v>A.5.03</v>
      </c>
      <c r="C53" s="70">
        <f t="shared" ca="1" si="21"/>
        <v>5</v>
      </c>
      <c r="D53" s="20"/>
      <c r="E53" s="91" t="str">
        <f t="shared" ca="1" si="22"/>
        <v>A.5.03</v>
      </c>
      <c r="F53" s="72" t="str">
        <f t="shared" ca="1" si="23"/>
        <v>Do you consider the scope limitations of penetration testing?</v>
      </c>
      <c r="G53" s="195" t="str">
        <f ca="1">VLOOKUP($A53,Assess_A_Reference,15,FALSE)</f>
        <v/>
      </c>
      <c r="H53" s="195">
        <f ca="1">(VLOOKUP(LEFT($B53,3),Targets_Lookup,5,FALSE))*VLOOKUP($A53,Weightings_Assessments,23,FALSE)</f>
        <v>12</v>
      </c>
      <c r="I53" s="72" t="str">
        <f ca="1">IF(VLOOKUP(A53,Assess_A_Reference,16,FALSE)=0,"",VLOOKUP(A53,Assess_A_Reference,16,FALSE))</f>
        <v/>
      </c>
      <c r="J53" s="70"/>
      <c r="K53" s="70"/>
      <c r="L53" s="70"/>
      <c r="M53" s="70"/>
      <c r="N53" s="70"/>
      <c r="O53" s="70"/>
      <c r="P53" s="70"/>
      <c r="Q53" s="70"/>
      <c r="R53" s="70"/>
      <c r="S53" s="70"/>
      <c r="T53" s="78"/>
      <c r="U53" s="106" t="str">
        <f ca="1">IF(AND(C53&gt;4,VLOOKUP(A53,Assess_A_Reference,34,FALSE)&lt;&gt;8),LEFT(B53,3),"")</f>
        <v>A.5</v>
      </c>
      <c r="V53" s="106">
        <f ca="1">VLOOKUP(A53,Weightings_Assessments,24,FALSE)</f>
        <v>3</v>
      </c>
      <c r="W53" s="106">
        <f ca="1">IF(VLOOKUP(A53,Assess_A_Reference,34,FALSE)=8,0,1)</f>
        <v>1</v>
      </c>
      <c r="X53" s="106">
        <f ca="1">W53*V53*4</f>
        <v>12</v>
      </c>
      <c r="Y53" s="77" t="str">
        <f ca="1">AG53&amp;U53</f>
        <v>A.5</v>
      </c>
      <c r="AD53" s="86"/>
      <c r="AE53" s="86"/>
      <c r="AF53" s="86"/>
      <c r="AG53" s="79"/>
      <c r="AH53" s="86"/>
      <c r="AI53" s="79"/>
    </row>
    <row r="54" spans="1:35" s="77" customFormat="1" ht="60" x14ac:dyDescent="0.25">
      <c r="A54" s="68">
        <v>48</v>
      </c>
      <c r="B54" s="69" t="str">
        <f t="shared" ca="1" si="20"/>
        <v/>
      </c>
      <c r="C54" s="70">
        <f t="shared" ca="1" si="21"/>
        <v>3</v>
      </c>
      <c r="D54" s="20"/>
      <c r="E54" s="91" t="str">
        <f t="shared" ca="1" si="22"/>
        <v/>
      </c>
      <c r="F54" s="166" t="str">
        <f t="shared" ca="1" si="23"/>
        <v>When evaluating the scoping limitations of penetration testing you should take into account that a test covers just the target environment that has been selected; is only a snapshot of a system at a point in time; and plays only a small part in an organisation’s defence system.</v>
      </c>
      <c r="G54" s="85"/>
      <c r="H54" s="85"/>
      <c r="I54" s="72"/>
      <c r="J54" s="70"/>
      <c r="K54" s="70"/>
      <c r="L54" s="70"/>
      <c r="M54" s="70"/>
      <c r="N54" s="70"/>
      <c r="O54" s="70"/>
      <c r="P54" s="70"/>
      <c r="Q54" s="70"/>
      <c r="R54" s="70"/>
      <c r="S54" s="70"/>
      <c r="T54" s="78"/>
      <c r="U54" s="78"/>
      <c r="V54" s="78"/>
      <c r="W54" s="78"/>
      <c r="X54" s="78"/>
      <c r="AD54" s="86"/>
      <c r="AE54" s="86"/>
      <c r="AF54" s="86"/>
      <c r="AG54" s="79"/>
      <c r="AH54" s="86"/>
      <c r="AI54" s="79"/>
    </row>
    <row r="55" spans="1:35" s="77" customFormat="1" ht="30" customHeight="1" x14ac:dyDescent="0.25">
      <c r="A55" s="68">
        <v>49</v>
      </c>
      <c r="B55" s="69" t="str">
        <f t="shared" ca="1" si="20"/>
        <v>A.5.04</v>
      </c>
      <c r="C55" s="70">
        <f t="shared" ca="1" si="21"/>
        <v>5</v>
      </c>
      <c r="D55" s="20"/>
      <c r="E55" s="91" t="str">
        <f t="shared" ca="1" si="22"/>
        <v>A.5.04</v>
      </c>
      <c r="F55" s="72" t="str">
        <f t="shared" ca="1" si="23"/>
        <v>Do you consider the technical limitations of penetration testing?</v>
      </c>
      <c r="G55" s="195" t="str">
        <f ca="1">VLOOKUP($A55,Assess_A_Reference,15,FALSE)</f>
        <v/>
      </c>
      <c r="H55" s="195">
        <f ca="1">(VLOOKUP(LEFT($B55,3),Targets_Lookup,5,FALSE))*VLOOKUP($A55,Weightings_Assessments,23,FALSE)</f>
        <v>12</v>
      </c>
      <c r="I55" s="72" t="str">
        <f ca="1">IF(VLOOKUP(A55,Assess_A_Reference,16,FALSE)=0,"",VLOOKUP(A55,Assess_A_Reference,16,FALSE))</f>
        <v/>
      </c>
      <c r="J55" s="70"/>
      <c r="K55" s="70"/>
      <c r="L55" s="70"/>
      <c r="M55" s="70"/>
      <c r="N55" s="70"/>
      <c r="O55" s="70"/>
      <c r="P55" s="70"/>
      <c r="Q55" s="70"/>
      <c r="R55" s="70"/>
      <c r="S55" s="70"/>
      <c r="T55" s="78"/>
      <c r="U55" s="106" t="str">
        <f ca="1">IF(AND(C55&gt;4,VLOOKUP(A55,Assess_A_Reference,34,FALSE)&lt;&gt;8),LEFT(B55,3),"")</f>
        <v>A.5</v>
      </c>
      <c r="V55" s="106">
        <f ca="1">VLOOKUP(A55,Weightings_Assessments,24,FALSE)</f>
        <v>3</v>
      </c>
      <c r="W55" s="106">
        <f ca="1">IF(VLOOKUP(A55,Assess_A_Reference,34,FALSE)=8,0,1)</f>
        <v>1</v>
      </c>
      <c r="X55" s="106">
        <f ca="1">W55*V55*4</f>
        <v>12</v>
      </c>
      <c r="Y55" s="77" t="str">
        <f ca="1">AG55&amp;U55</f>
        <v>A.5</v>
      </c>
      <c r="AD55" s="86"/>
      <c r="AE55" s="86"/>
      <c r="AF55" s="86"/>
      <c r="AG55" s="79"/>
      <c r="AH55" s="86"/>
      <c r="AI55" s="79"/>
    </row>
    <row r="56" spans="1:35" s="77" customFormat="1" ht="75" x14ac:dyDescent="0.25">
      <c r="A56" s="68">
        <v>50</v>
      </c>
      <c r="B56" s="69" t="str">
        <f t="shared" ca="1" si="20"/>
        <v/>
      </c>
      <c r="C56" s="70">
        <f t="shared" ca="1" si="21"/>
        <v>3</v>
      </c>
      <c r="D56" s="20"/>
      <c r="E56" s="91" t="str">
        <f t="shared" ca="1" si="22"/>
        <v/>
      </c>
      <c r="F56" s="166" t="str">
        <f t="shared" ca="1" si="23"/>
        <v>When evaluating the testing limitations of penetration testing you should take into account that a test focuses on the exposures in technical infrastructure; can be limited by legal or commercial considerations (limiting the breadth or depth of a test); and may not uncover all security weaknesses.</v>
      </c>
      <c r="G56" s="85"/>
      <c r="H56" s="85"/>
      <c r="I56" s="72"/>
      <c r="J56" s="70"/>
      <c r="K56" s="70"/>
      <c r="L56" s="70"/>
      <c r="M56" s="70"/>
      <c r="N56" s="70"/>
      <c r="O56" s="70"/>
      <c r="P56" s="70"/>
      <c r="Q56" s="70"/>
      <c r="R56" s="70"/>
      <c r="S56" s="70"/>
      <c r="T56" s="78"/>
      <c r="U56" s="78"/>
      <c r="V56" s="78"/>
      <c r="W56" s="78"/>
      <c r="X56" s="78"/>
      <c r="AD56" s="86"/>
      <c r="AE56" s="86"/>
      <c r="AF56" s="86"/>
      <c r="AG56" s="79"/>
      <c r="AH56" s="86"/>
      <c r="AI56" s="79"/>
    </row>
    <row r="57" spans="1:35" s="77" customFormat="1" ht="30" customHeight="1" x14ac:dyDescent="0.25">
      <c r="A57" s="68">
        <v>51</v>
      </c>
      <c r="B57" s="69" t="str">
        <f t="shared" ca="1" si="20"/>
        <v>A.5.05</v>
      </c>
      <c r="C57" s="70">
        <f t="shared" ca="1" si="21"/>
        <v>5</v>
      </c>
      <c r="D57" s="20"/>
      <c r="E57" s="91" t="str">
        <f t="shared" ca="1" si="22"/>
        <v>A.5.05</v>
      </c>
      <c r="F57" s="72" t="str">
        <f t="shared" ca="1" si="23"/>
        <v>Do you evaluate the potential difficulties involved with scoping penetration tests?</v>
      </c>
      <c r="G57" s="195" t="str">
        <f ca="1">VLOOKUP($A57,Assess_A_Reference,15,FALSE)</f>
        <v/>
      </c>
      <c r="H57" s="195">
        <f ca="1">(VLOOKUP(LEFT($B57,3),Targets_Lookup,5,FALSE))*VLOOKUP($A57,Weightings_Assessments,23,FALSE)</f>
        <v>12</v>
      </c>
      <c r="I57" s="72" t="str">
        <f ca="1">IF(VLOOKUP(A57,Assess_A_Reference,16,FALSE)=0,"",VLOOKUP(A57,Assess_A_Reference,16,FALSE))</f>
        <v/>
      </c>
      <c r="J57" s="70"/>
      <c r="K57" s="70"/>
      <c r="L57" s="70"/>
      <c r="M57" s="70"/>
      <c r="N57" s="70"/>
      <c r="O57" s="70"/>
      <c r="P57" s="70"/>
      <c r="Q57" s="70"/>
      <c r="R57" s="70"/>
      <c r="S57" s="70"/>
      <c r="T57" s="78"/>
      <c r="U57" s="106" t="str">
        <f ca="1">IF(AND(C57&gt;4,VLOOKUP(A57,Assess_A_Reference,34,FALSE)&lt;&gt;8),LEFT(B57,3),"")</f>
        <v>A.5</v>
      </c>
      <c r="V57" s="106">
        <f ca="1">VLOOKUP(A57,Weightings_Assessments,24,FALSE)</f>
        <v>3</v>
      </c>
      <c r="W57" s="106">
        <f ca="1">IF(VLOOKUP(A57,Assess_A_Reference,34,FALSE)=8,0,1)</f>
        <v>1</v>
      </c>
      <c r="X57" s="106">
        <f ca="1">W57*V57*4</f>
        <v>12</v>
      </c>
      <c r="Y57" s="77" t="str">
        <f ca="1">AG57&amp;U57</f>
        <v>A.5</v>
      </c>
      <c r="AD57" s="86"/>
      <c r="AE57" s="86"/>
      <c r="AF57" s="86"/>
      <c r="AG57" s="79"/>
      <c r="AH57" s="86"/>
      <c r="AI57" s="79"/>
    </row>
    <row r="58" spans="1:35" s="77" customFormat="1" ht="75" x14ac:dyDescent="0.25">
      <c r="A58" s="68">
        <v>52</v>
      </c>
      <c r="B58" s="69" t="str">
        <f t="shared" ca="1" si="20"/>
        <v/>
      </c>
      <c r="C58" s="70">
        <f t="shared" ca="1" si="21"/>
        <v>3</v>
      </c>
      <c r="D58" s="20"/>
      <c r="E58" s="91" t="str">
        <f t="shared" ca="1" si="22"/>
        <v/>
      </c>
      <c r="F58" s="166" t="str">
        <f t="shared" ca="1" si="23"/>
        <v>The potential scoping difficulties involved with carrying out penetration testing can include: determining the depth and breadth of coverage of the test; identifying the style, type, targets and frequency of tests; managing risks associated with potential system failure and exposure of sensitive data; and remediating system vulnerabilities effectively.</v>
      </c>
      <c r="G58" s="85"/>
      <c r="H58" s="85"/>
      <c r="I58" s="72"/>
      <c r="J58" s="70"/>
      <c r="K58" s="70"/>
      <c r="L58" s="70"/>
      <c r="M58" s="70"/>
      <c r="N58" s="70"/>
      <c r="O58" s="70"/>
      <c r="P58" s="70"/>
      <c r="Q58" s="70"/>
      <c r="R58" s="70"/>
      <c r="S58" s="70"/>
      <c r="T58" s="78"/>
      <c r="U58" s="78"/>
      <c r="V58" s="78"/>
      <c r="W58" s="78"/>
      <c r="X58" s="78"/>
      <c r="AD58" s="86"/>
      <c r="AE58" s="86"/>
      <c r="AF58" s="86"/>
      <c r="AG58" s="79"/>
      <c r="AH58" s="86"/>
      <c r="AI58" s="79"/>
    </row>
    <row r="59" spans="1:35" s="77" customFormat="1" ht="30" customHeight="1" x14ac:dyDescent="0.25">
      <c r="A59" s="68">
        <v>53</v>
      </c>
      <c r="B59" s="69" t="str">
        <f t="shared" ca="1" si="20"/>
        <v>A.5.06</v>
      </c>
      <c r="C59" s="70">
        <f t="shared" ca="1" si="21"/>
        <v>5</v>
      </c>
      <c r="D59" s="20"/>
      <c r="E59" s="91" t="str">
        <f t="shared" ca="1" si="22"/>
        <v>A.5.06</v>
      </c>
      <c r="F59" s="72" t="str">
        <f t="shared" ca="1" si="23"/>
        <v>Do you evaluate the potential difficulties involved with resourcing penetration tests?</v>
      </c>
      <c r="G59" s="195" t="str">
        <f ca="1">VLOOKUP($A59,Assess_A_Reference,15,FALSE)</f>
        <v/>
      </c>
      <c r="H59" s="195">
        <f ca="1">(VLOOKUP(LEFT($B59,3),Targets_Lookup,5,FALSE))*VLOOKUP($A59,Weightings_Assessments,23,FALSE)</f>
        <v>16</v>
      </c>
      <c r="I59" s="72" t="str">
        <f ca="1">IF(VLOOKUP(A59,Assess_A_Reference,16,FALSE)=0,"",VLOOKUP(A59,Assess_A_Reference,16,FALSE))</f>
        <v/>
      </c>
      <c r="J59" s="70"/>
      <c r="K59" s="70"/>
      <c r="L59" s="70"/>
      <c r="M59" s="70"/>
      <c r="N59" s="70"/>
      <c r="O59" s="70"/>
      <c r="P59" s="70"/>
      <c r="Q59" s="70"/>
      <c r="R59" s="70"/>
      <c r="S59" s="70"/>
      <c r="T59" s="78"/>
      <c r="U59" s="106" t="str">
        <f ca="1">IF(AND(C59&gt;4,VLOOKUP(A59,Assess_A_Reference,34,FALSE)&lt;&gt;8),LEFT(B59,3),"")</f>
        <v>A.5</v>
      </c>
      <c r="V59" s="106">
        <f ca="1">VLOOKUP(A59,Weightings_Assessments,24,FALSE)</f>
        <v>4</v>
      </c>
      <c r="W59" s="106">
        <f ca="1">IF(VLOOKUP(A59,Assess_A_Reference,34,FALSE)=8,0,1)</f>
        <v>1</v>
      </c>
      <c r="X59" s="106">
        <f ca="1">W59*V59*4</f>
        <v>16</v>
      </c>
      <c r="Y59" s="77" t="str">
        <f ca="1">AG59&amp;U59</f>
        <v>A.5</v>
      </c>
      <c r="AD59" s="86"/>
      <c r="AE59" s="86"/>
      <c r="AF59" s="86"/>
      <c r="AG59" s="79"/>
      <c r="AH59" s="86"/>
      <c r="AI59" s="79"/>
    </row>
    <row r="60" spans="1:35" s="77" customFormat="1" ht="60" x14ac:dyDescent="0.25">
      <c r="A60" s="68">
        <v>54</v>
      </c>
      <c r="B60" s="69" t="str">
        <f t="shared" ca="1" si="20"/>
        <v/>
      </c>
      <c r="C60" s="70">
        <f t="shared" ca="1" si="21"/>
        <v>3</v>
      </c>
      <c r="D60" s="20"/>
      <c r="E60" s="91" t="str">
        <f t="shared" ca="1" si="22"/>
        <v/>
      </c>
      <c r="F60" s="166" t="str">
        <f t="shared" ca="1" si="23"/>
        <v>The potential resourcing difficulties in carrying out penetration testing can include: understanding the costs of external services (and in determining the true overall cost of testing); and finding a suitable penetration testing expert when required (e.g. at short notice).</v>
      </c>
      <c r="G60" s="85"/>
      <c r="H60" s="85"/>
      <c r="I60" s="72"/>
      <c r="J60" s="70"/>
      <c r="K60" s="70"/>
      <c r="L60" s="70"/>
      <c r="M60" s="70"/>
      <c r="N60" s="70"/>
      <c r="O60" s="70"/>
      <c r="P60" s="70"/>
      <c r="Q60" s="70"/>
      <c r="R60" s="70"/>
      <c r="S60" s="70"/>
      <c r="T60" s="78"/>
      <c r="U60" s="78"/>
      <c r="V60" s="78"/>
      <c r="W60" s="78"/>
      <c r="X60" s="78"/>
      <c r="AD60" s="86"/>
      <c r="AE60" s="86"/>
      <c r="AF60" s="86"/>
      <c r="AG60" s="79"/>
      <c r="AH60" s="86"/>
      <c r="AI60" s="79"/>
    </row>
    <row r="61" spans="1:35" s="77" customFormat="1" ht="30" customHeight="1" x14ac:dyDescent="0.25">
      <c r="A61" s="68">
        <v>55</v>
      </c>
      <c r="B61" s="69" t="str">
        <f t="shared" ca="1" si="20"/>
        <v>A.6</v>
      </c>
      <c r="C61" s="70">
        <f t="shared" ca="1" si="21"/>
        <v>2</v>
      </c>
      <c r="D61" s="20"/>
      <c r="E61" s="111" t="str">
        <f t="shared" ca="1" si="22"/>
        <v>Step 6</v>
      </c>
      <c r="F61" s="108" t="str">
        <f t="shared" ca="1" si="23"/>
        <v>Produce requirements specifications</v>
      </c>
      <c r="G61" s="193" t="str">
        <f ca="1">"Maturity level:  "&amp;O61</f>
        <v>Maturity level:  Level 1</v>
      </c>
      <c r="H61" s="194"/>
      <c r="I61" s="172"/>
      <c r="J61" s="107"/>
      <c r="K61" s="107"/>
      <c r="L61" s="107" t="str">
        <f ca="1">TEXT(B61,"0.0")</f>
        <v>A.6</v>
      </c>
      <c r="M61" s="106">
        <f ca="1">SUMIF(Y:Y,L61,G:G)/(SUMIF(Y:Y,L61,X:X))</f>
        <v>0</v>
      </c>
      <c r="N61" s="106" t="str">
        <f ca="1">HLOOKUP(M61*100,level_ref,2,TRUE)</f>
        <v>Level 1</v>
      </c>
      <c r="O61" s="106" t="str">
        <f ca="1">IF(ISERROR(N61),"",N61)</f>
        <v>Level 1</v>
      </c>
      <c r="P61" s="106">
        <f ca="1">HLOOKUP(M61*100,level_ref,3,TRUE)</f>
        <v>1</v>
      </c>
      <c r="Q61" s="106">
        <f ca="1">IF(ISERROR(P61),"",P61)</f>
        <v>1</v>
      </c>
      <c r="R61" s="106">
        <f ca="1">M61*5</f>
        <v>0</v>
      </c>
      <c r="S61" s="106"/>
      <c r="T61" s="106"/>
      <c r="U61" s="106" t="str">
        <f t="shared" ref="U61:U67" ca="1" si="24">IF(AND(C61&gt;4,VLOOKUP(A61,Assess_A_Reference,34,FALSE)&lt;&gt;8),LEFT(B61,3),"")</f>
        <v/>
      </c>
      <c r="V61" s="106">
        <f t="shared" ref="V61:V67" ca="1" si="25">VLOOKUP(A61,Weightings_Assessments,24,FALSE)</f>
        <v>0</v>
      </c>
      <c r="W61" s="106">
        <f t="shared" ref="W61:W67" ca="1" si="26">IF(VLOOKUP(A61,Assess_A_Reference,34,FALSE)=8,0,1)</f>
        <v>1</v>
      </c>
      <c r="X61" s="106">
        <f t="shared" ref="X61:X67" ca="1" si="27">W61*V61*4</f>
        <v>0</v>
      </c>
      <c r="Y61" s="77" t="str">
        <f t="shared" ref="Y61:Y67" ca="1" si="28">AG61&amp;U61</f>
        <v/>
      </c>
      <c r="AD61" s="86"/>
      <c r="AE61" s="86"/>
      <c r="AF61" s="86"/>
      <c r="AG61" s="79"/>
      <c r="AH61" s="86"/>
      <c r="AI61" s="79"/>
    </row>
    <row r="62" spans="1:35" s="77" customFormat="1" ht="30" customHeight="1" x14ac:dyDescent="0.25">
      <c r="A62" s="68">
        <v>56</v>
      </c>
      <c r="B62" s="69" t="str">
        <f t="shared" ca="1" si="20"/>
        <v>A.6.01</v>
      </c>
      <c r="C62" s="70">
        <f t="shared" ca="1" si="21"/>
        <v>5</v>
      </c>
      <c r="D62" s="20"/>
      <c r="E62" s="91" t="str">
        <f t="shared" ca="1" si="22"/>
        <v>A.6.01</v>
      </c>
      <c r="F62" s="72" t="str">
        <f t="shared" ca="1" si="23"/>
        <v>Do you define formal requirements for penetration testing carried out in your organisation?</v>
      </c>
      <c r="G62" s="195" t="str">
        <f ca="1">VLOOKUP($A62,Assess_A_Reference,15,FALSE)</f>
        <v/>
      </c>
      <c r="H62" s="195">
        <f ca="1">(VLOOKUP(LEFT($B62,3),Targets_Lookup,5,FALSE))*VLOOKUP($A62,Weightings_Assessments,23,FALSE)</f>
        <v>4</v>
      </c>
      <c r="I62" s="72" t="str">
        <f ca="1">IF(VLOOKUP(A62,Assess_A_Reference,16,FALSE)=0,"",VLOOKUP(A62,Assess_A_Reference,16,FALSE))</f>
        <v/>
      </c>
      <c r="J62" s="70"/>
      <c r="K62" s="70"/>
      <c r="L62" s="70"/>
      <c r="M62" s="70"/>
      <c r="N62" s="70"/>
      <c r="O62" s="70"/>
      <c r="P62" s="70"/>
      <c r="Q62" s="70"/>
      <c r="R62" s="70"/>
      <c r="S62" s="70"/>
      <c r="T62" s="78"/>
      <c r="U62" s="106" t="str">
        <f t="shared" ca="1" si="24"/>
        <v>A.6</v>
      </c>
      <c r="V62" s="106">
        <f t="shared" ca="1" si="25"/>
        <v>1</v>
      </c>
      <c r="W62" s="106">
        <f t="shared" ca="1" si="26"/>
        <v>1</v>
      </c>
      <c r="X62" s="106">
        <f t="shared" ca="1" si="27"/>
        <v>4</v>
      </c>
      <c r="Y62" s="77" t="str">
        <f t="shared" ca="1" si="28"/>
        <v>A.6</v>
      </c>
      <c r="AD62" s="86"/>
      <c r="AE62" s="86"/>
      <c r="AF62" s="86"/>
      <c r="AG62" s="79"/>
      <c r="AH62" s="86"/>
      <c r="AI62" s="79"/>
    </row>
    <row r="63" spans="1:35" s="77" customFormat="1" ht="45" x14ac:dyDescent="0.25">
      <c r="A63" s="68">
        <v>57</v>
      </c>
      <c r="B63" s="69" t="str">
        <f t="shared" ca="1" si="20"/>
        <v>A.6.02</v>
      </c>
      <c r="C63" s="70">
        <f t="shared" ca="1" si="21"/>
        <v>5</v>
      </c>
      <c r="D63" s="20"/>
      <c r="E63" s="91" t="str">
        <f t="shared" ca="1" si="22"/>
        <v>A.6.02</v>
      </c>
      <c r="F63" s="72" t="str">
        <f t="shared" ca="1" si="23"/>
        <v>Do your requirements for penetration testing include consideration of any impact on important business applications, key systems and networks (IT infrastructure) and confidential data?</v>
      </c>
      <c r="G63" s="195" t="str">
        <f ca="1">VLOOKUP($A63,Assess_A_Reference,15,FALSE)</f>
        <v/>
      </c>
      <c r="H63" s="195">
        <f ca="1">(VLOOKUP(LEFT($B63,3),Targets_Lookup,5,FALSE))*VLOOKUP($A63,Weightings_Assessments,23,FALSE)</f>
        <v>12</v>
      </c>
      <c r="I63" s="72" t="str">
        <f ca="1">IF(VLOOKUP(A63,Assess_A_Reference,16,FALSE)=0,"",VLOOKUP(A63,Assess_A_Reference,16,FALSE))</f>
        <v/>
      </c>
      <c r="J63" s="70"/>
      <c r="K63" s="70"/>
      <c r="L63" s="70"/>
      <c r="M63" s="70"/>
      <c r="N63" s="70"/>
      <c r="O63" s="70"/>
      <c r="P63" s="70"/>
      <c r="Q63" s="70"/>
      <c r="R63" s="70"/>
      <c r="S63" s="70"/>
      <c r="T63" s="78"/>
      <c r="U63" s="106" t="str">
        <f t="shared" ca="1" si="24"/>
        <v>A.6</v>
      </c>
      <c r="V63" s="106">
        <f t="shared" ca="1" si="25"/>
        <v>3</v>
      </c>
      <c r="W63" s="106">
        <f t="shared" ca="1" si="26"/>
        <v>1</v>
      </c>
      <c r="X63" s="106">
        <f t="shared" ca="1" si="27"/>
        <v>12</v>
      </c>
      <c r="Y63" s="77" t="str">
        <f t="shared" ca="1" si="28"/>
        <v>A.6</v>
      </c>
      <c r="AD63" s="86"/>
      <c r="AE63" s="86"/>
      <c r="AF63" s="86"/>
      <c r="AG63" s="79"/>
      <c r="AH63" s="86"/>
      <c r="AI63" s="79"/>
    </row>
    <row r="64" spans="1:35" s="77" customFormat="1" ht="45" x14ac:dyDescent="0.25">
      <c r="A64" s="68">
        <v>58</v>
      </c>
      <c r="B64" s="69" t="str">
        <f t="shared" ca="1" si="20"/>
        <v>A.6.03</v>
      </c>
      <c r="C64" s="70">
        <f t="shared" ca="1" si="21"/>
        <v>5</v>
      </c>
      <c r="D64" s="20"/>
      <c r="E64" s="91" t="str">
        <f t="shared" ca="1" si="22"/>
        <v>A.6.03</v>
      </c>
      <c r="F64" s="72" t="str">
        <f t="shared" ca="1" si="23"/>
        <v>Do your requirements for penetration testing specify that testers must validate that the test will be legal and that it will not compromise data protection requirements?</v>
      </c>
      <c r="G64" s="195" t="str">
        <f ca="1">VLOOKUP($A64,Assess_A_Reference,15,FALSE)</f>
        <v/>
      </c>
      <c r="H64" s="195">
        <f ca="1">(VLOOKUP(LEFT($B64,3),Targets_Lookup,5,FALSE))*VLOOKUP($A64,Weightings_Assessments,23,FALSE)</f>
        <v>16</v>
      </c>
      <c r="I64" s="72" t="str">
        <f ca="1">IF(VLOOKUP(A64,Assess_A_Reference,16,FALSE)=0,"",VLOOKUP(A64,Assess_A_Reference,16,FALSE))</f>
        <v/>
      </c>
      <c r="J64" s="70"/>
      <c r="K64" s="70"/>
      <c r="L64" s="70"/>
      <c r="M64" s="70"/>
      <c r="N64" s="70"/>
      <c r="O64" s="70"/>
      <c r="P64" s="70"/>
      <c r="Q64" s="70"/>
      <c r="R64" s="70"/>
      <c r="S64" s="70"/>
      <c r="T64" s="78"/>
      <c r="U64" s="106" t="str">
        <f t="shared" ca="1" si="24"/>
        <v>A.6</v>
      </c>
      <c r="V64" s="106">
        <f t="shared" ca="1" si="25"/>
        <v>4</v>
      </c>
      <c r="W64" s="106">
        <f t="shared" ca="1" si="26"/>
        <v>1</v>
      </c>
      <c r="X64" s="106">
        <f t="shared" ca="1" si="27"/>
        <v>16</v>
      </c>
      <c r="Y64" s="77" t="str">
        <f t="shared" ca="1" si="28"/>
        <v>A.6</v>
      </c>
      <c r="AD64" s="86"/>
      <c r="AE64" s="86"/>
      <c r="AF64" s="86"/>
      <c r="AG64" s="79"/>
      <c r="AH64" s="86"/>
      <c r="AI64" s="79"/>
    </row>
    <row r="65" spans="1:35" s="77" customFormat="1" ht="60" x14ac:dyDescent="0.25">
      <c r="A65" s="68">
        <v>59</v>
      </c>
      <c r="B65" s="69" t="str">
        <f t="shared" ca="1" si="20"/>
        <v>A.6.04</v>
      </c>
      <c r="C65" s="70">
        <f t="shared" ca="1" si="21"/>
        <v>5</v>
      </c>
      <c r="D65" s="20"/>
      <c r="E65" s="91" t="str">
        <f t="shared" ca="1" si="22"/>
        <v>A.6.04</v>
      </c>
      <c r="F65" s="72" t="str">
        <f t="shared" ca="1" si="23"/>
        <v>Are your requirements for a penetration test formally recorded in a requirements specification, formulated by competent technical experts, reviewed and signed-off, monitored to ensure they are met and then reviewed / revised on a regular basis?</v>
      </c>
      <c r="G65" s="195" t="str">
        <f ca="1">VLOOKUP($A65,Assess_A_Reference,15,FALSE)</f>
        <v/>
      </c>
      <c r="H65" s="195">
        <f ca="1">(VLOOKUP(LEFT($B65,3),Targets_Lookup,5,FALSE))*VLOOKUP($A65,Weightings_Assessments,23,FALSE)</f>
        <v>20</v>
      </c>
      <c r="I65" s="72" t="str">
        <f ca="1">IF(VLOOKUP(A65,Assess_A_Reference,16,FALSE)=0,"",VLOOKUP(A65,Assess_A_Reference,16,FALSE))</f>
        <v/>
      </c>
      <c r="J65" s="70"/>
      <c r="K65" s="70"/>
      <c r="L65" s="70"/>
      <c r="M65" s="70"/>
      <c r="N65" s="70"/>
      <c r="O65" s="70"/>
      <c r="P65" s="70"/>
      <c r="Q65" s="70"/>
      <c r="R65" s="70"/>
      <c r="S65" s="70"/>
      <c r="T65" s="78"/>
      <c r="U65" s="106" t="str">
        <f t="shared" ca="1" si="24"/>
        <v>A.6</v>
      </c>
      <c r="V65" s="106">
        <f t="shared" ca="1" si="25"/>
        <v>5</v>
      </c>
      <c r="W65" s="106">
        <f t="shared" ca="1" si="26"/>
        <v>1</v>
      </c>
      <c r="X65" s="106">
        <f t="shared" ca="1" si="27"/>
        <v>20</v>
      </c>
      <c r="Y65" s="77" t="str">
        <f t="shared" ca="1" si="28"/>
        <v>A.6</v>
      </c>
      <c r="AD65" s="86"/>
      <c r="AE65" s="86"/>
      <c r="AF65" s="86"/>
      <c r="AG65" s="79"/>
      <c r="AH65" s="86"/>
      <c r="AI65" s="79"/>
    </row>
    <row r="66" spans="1:35" s="77" customFormat="1" ht="30" customHeight="1" x14ac:dyDescent="0.25">
      <c r="A66" s="68">
        <v>60</v>
      </c>
      <c r="B66" s="69" t="str">
        <f t="shared" ca="1" si="20"/>
        <v>A.7</v>
      </c>
      <c r="C66" s="70">
        <f t="shared" ca="1" si="21"/>
        <v>2</v>
      </c>
      <c r="D66" s="20"/>
      <c r="E66" s="111" t="str">
        <f t="shared" ca="1" si="22"/>
        <v>Step 7</v>
      </c>
      <c r="F66" s="108" t="str">
        <f t="shared" ca="1" si="23"/>
        <v>Select suitable suppliers</v>
      </c>
      <c r="G66" s="193" t="str">
        <f ca="1">"Maturity level:  "&amp;O66</f>
        <v>Maturity level:  Level 1</v>
      </c>
      <c r="H66" s="194"/>
      <c r="I66" s="172"/>
      <c r="J66" s="107"/>
      <c r="K66" s="107"/>
      <c r="L66" s="107" t="str">
        <f ca="1">TEXT(B66,"0.0")</f>
        <v>A.7</v>
      </c>
      <c r="M66" s="106">
        <f ca="1">SUMIF(Y:Y,L66,G:G)/(SUMIF(Y:Y,L66,X:X))</f>
        <v>0</v>
      </c>
      <c r="N66" s="106" t="str">
        <f ca="1">HLOOKUP(M66*100,level_ref,2,TRUE)</f>
        <v>Level 1</v>
      </c>
      <c r="O66" s="106" t="str">
        <f ca="1">IF(ISERROR(N66),"",N66)</f>
        <v>Level 1</v>
      </c>
      <c r="P66" s="106">
        <f ca="1">HLOOKUP(M66*100,level_ref,3,TRUE)</f>
        <v>1</v>
      </c>
      <c r="Q66" s="106">
        <f ca="1">IF(ISERROR(P66),"",P66)</f>
        <v>1</v>
      </c>
      <c r="R66" s="106">
        <f ca="1">M66*5</f>
        <v>0</v>
      </c>
      <c r="S66" s="106"/>
      <c r="T66" s="106"/>
      <c r="U66" s="106" t="str">
        <f t="shared" ca="1" si="24"/>
        <v/>
      </c>
      <c r="V66" s="106">
        <f t="shared" ca="1" si="25"/>
        <v>0</v>
      </c>
      <c r="W66" s="106">
        <f t="shared" ca="1" si="26"/>
        <v>1</v>
      </c>
      <c r="X66" s="106">
        <f t="shared" ca="1" si="27"/>
        <v>0</v>
      </c>
      <c r="Y66" s="77" t="str">
        <f t="shared" ca="1" si="28"/>
        <v/>
      </c>
      <c r="AD66" s="86"/>
      <c r="AE66" s="86"/>
      <c r="AF66" s="86"/>
      <c r="AG66" s="79"/>
      <c r="AH66" s="86"/>
      <c r="AI66" s="79"/>
    </row>
    <row r="67" spans="1:35" s="77" customFormat="1" ht="30" customHeight="1" x14ac:dyDescent="0.25">
      <c r="A67" s="68">
        <v>61</v>
      </c>
      <c r="B67" s="69" t="str">
        <f t="shared" ca="1" si="20"/>
        <v>A.7.01</v>
      </c>
      <c r="C67" s="70">
        <f t="shared" ca="1" si="21"/>
        <v>5</v>
      </c>
      <c r="D67" s="20"/>
      <c r="E67" s="91" t="str">
        <f t="shared" ca="1" si="22"/>
        <v>A.7.01</v>
      </c>
      <c r="F67" s="72" t="str">
        <f t="shared" ca="1" si="23"/>
        <v>Do you appoint suitable third party suppliers to undertake independent penetration testing, based on defined requirements?</v>
      </c>
      <c r="G67" s="195" t="str">
        <f ca="1">VLOOKUP($A67,Assess_A_Reference,15,FALSE)</f>
        <v/>
      </c>
      <c r="H67" s="195">
        <f ca="1">(VLOOKUP(LEFT($B67,3),Targets_Lookup,5,FALSE))*VLOOKUP($A67,Weightings_Assessments,23,FALSE)</f>
        <v>8</v>
      </c>
      <c r="I67" s="72" t="str">
        <f ca="1">IF(VLOOKUP(A67,Assess_A_Reference,16,FALSE)=0,"",VLOOKUP(A67,Assess_A_Reference,16,FALSE))</f>
        <v/>
      </c>
      <c r="J67" s="70"/>
      <c r="K67" s="70"/>
      <c r="L67" s="70"/>
      <c r="M67" s="70"/>
      <c r="N67" s="70"/>
      <c r="O67" s="70"/>
      <c r="P67" s="70"/>
      <c r="Q67" s="70"/>
      <c r="R67" s="70"/>
      <c r="S67" s="70"/>
      <c r="T67" s="78"/>
      <c r="U67" s="106" t="str">
        <f t="shared" ca="1" si="24"/>
        <v>A.7</v>
      </c>
      <c r="V67" s="106">
        <f t="shared" ca="1" si="25"/>
        <v>2</v>
      </c>
      <c r="W67" s="106">
        <f t="shared" ca="1" si="26"/>
        <v>1</v>
      </c>
      <c r="X67" s="106">
        <f t="shared" ca="1" si="27"/>
        <v>8</v>
      </c>
      <c r="Y67" s="77" t="str">
        <f t="shared" ca="1" si="28"/>
        <v>A.7</v>
      </c>
      <c r="AD67" s="86"/>
      <c r="AE67" s="86"/>
      <c r="AF67" s="86"/>
      <c r="AG67" s="79"/>
      <c r="AH67" s="86"/>
      <c r="AI67" s="79"/>
    </row>
    <row r="68" spans="1:35" s="77" customFormat="1" ht="60" x14ac:dyDescent="0.25">
      <c r="A68" s="68">
        <v>62</v>
      </c>
      <c r="B68" s="69" t="str">
        <f t="shared" ca="1" si="20"/>
        <v/>
      </c>
      <c r="C68" s="70">
        <f t="shared" ca="1" si="21"/>
        <v>3</v>
      </c>
      <c r="D68" s="20"/>
      <c r="E68" s="91" t="str">
        <f t="shared" ca="1" si="22"/>
        <v/>
      </c>
      <c r="F68" s="166" t="str">
        <f t="shared" ca="1" si="23"/>
        <v>Effective requirements for penetration testing suppliers are typically based on a cost / benefit analysis, driven by clear objectives, recorded in a requirements specification and integrated into an organisation’s procurement process.</v>
      </c>
      <c r="G68" s="85"/>
      <c r="H68" s="85"/>
      <c r="I68" s="72"/>
      <c r="J68" s="70"/>
      <c r="K68" s="70"/>
      <c r="L68" s="70"/>
      <c r="M68" s="70"/>
      <c r="N68" s="70"/>
      <c r="O68" s="70"/>
      <c r="P68" s="70"/>
      <c r="Q68" s="70"/>
      <c r="R68" s="70"/>
      <c r="S68" s="70"/>
      <c r="T68" s="78"/>
      <c r="U68" s="78"/>
      <c r="V68" s="78"/>
      <c r="W68" s="78"/>
      <c r="X68" s="78"/>
      <c r="AD68" s="86"/>
      <c r="AE68" s="86"/>
      <c r="AF68" s="86"/>
      <c r="AG68" s="79"/>
      <c r="AH68" s="86"/>
      <c r="AI68" s="79"/>
    </row>
    <row r="69" spans="1:35" s="77" customFormat="1" ht="30" customHeight="1" x14ac:dyDescent="0.25">
      <c r="A69" s="68">
        <v>63</v>
      </c>
      <c r="B69" s="69" t="str">
        <f t="shared" ca="1" si="20"/>
        <v>A.7.02</v>
      </c>
      <c r="C69" s="70">
        <f t="shared" ca="1" si="21"/>
        <v>5</v>
      </c>
      <c r="D69" s="20"/>
      <c r="E69" s="91" t="str">
        <f t="shared" ca="1" si="22"/>
        <v>A.7.02</v>
      </c>
      <c r="F69" s="72" t="str">
        <f t="shared" ca="1" si="23"/>
        <v>Do you evaluate the benefits of using external suppliers?</v>
      </c>
      <c r="G69" s="195" t="str">
        <f ca="1">VLOOKUP($A69,Assess_A_Reference,15,FALSE)</f>
        <v/>
      </c>
      <c r="H69" s="195">
        <f ca="1">(VLOOKUP(LEFT($B69,3),Targets_Lookup,5,FALSE))*VLOOKUP($A69,Weightings_Assessments,23,FALSE)</f>
        <v>12</v>
      </c>
      <c r="I69" s="72" t="str">
        <f ca="1">IF(VLOOKUP(A69,Assess_A_Reference,16,FALSE)=0,"",VLOOKUP(A69,Assess_A_Reference,16,FALSE))</f>
        <v/>
      </c>
      <c r="J69" s="70"/>
      <c r="K69" s="70"/>
      <c r="L69" s="70"/>
      <c r="M69" s="70"/>
      <c r="N69" s="70"/>
      <c r="O69" s="70"/>
      <c r="P69" s="70"/>
      <c r="Q69" s="70"/>
      <c r="R69" s="70"/>
      <c r="S69" s="70"/>
      <c r="T69" s="78"/>
      <c r="U69" s="106" t="str">
        <f ca="1">IF(AND(C69&gt;4,VLOOKUP(A69,Assess_A_Reference,34,FALSE)&lt;&gt;8),LEFT(B69,3),"")</f>
        <v>A.7</v>
      </c>
      <c r="V69" s="106">
        <f ca="1">VLOOKUP(A69,Weightings_Assessments,24,FALSE)</f>
        <v>3</v>
      </c>
      <c r="W69" s="106">
        <f ca="1">IF(VLOOKUP(A69,Assess_A_Reference,34,FALSE)=8,0,1)</f>
        <v>1</v>
      </c>
      <c r="X69" s="106">
        <f ca="1">W69*V69*4</f>
        <v>12</v>
      </c>
      <c r="Y69" s="77" t="str">
        <f ca="1">AG69&amp;U69</f>
        <v>A.7</v>
      </c>
      <c r="AD69" s="86"/>
      <c r="AE69" s="86"/>
      <c r="AF69" s="86"/>
      <c r="AG69" s="79"/>
      <c r="AH69" s="86"/>
      <c r="AI69" s="79"/>
    </row>
    <row r="70" spans="1:35" s="77" customFormat="1" ht="105" x14ac:dyDescent="0.25">
      <c r="A70" s="68">
        <v>64</v>
      </c>
      <c r="B70" s="69" t="str">
        <f t="shared" ca="1" si="20"/>
        <v/>
      </c>
      <c r="C70" s="70">
        <f t="shared" ca="1" si="21"/>
        <v>3</v>
      </c>
      <c r="D70" s="20"/>
      <c r="E70" s="91" t="str">
        <f t="shared" ca="1" si="22"/>
        <v/>
      </c>
      <c r="F70" s="166" t="str">
        <f t="shared" ca="1" si="23"/>
        <v>When evaluating the benefits of using external suppliers, you should consider their ability to help you: deploy a structured process and plan, developed by experts; increase the scope and frequency of tests; conduct short term engagements, eliminating the need to employ your own specialised (and often expensive) staff; and take advantage of automation (e.g. by using penetration testing workflows and importing vulnerability management reports).</v>
      </c>
      <c r="G70" s="85"/>
      <c r="H70" s="85"/>
      <c r="I70" s="72"/>
      <c r="J70" s="70"/>
      <c r="K70" s="70"/>
      <c r="L70" s="70"/>
      <c r="M70" s="70"/>
      <c r="N70" s="70"/>
      <c r="O70" s="70"/>
      <c r="P70" s="70"/>
      <c r="Q70" s="70"/>
      <c r="R70" s="70"/>
      <c r="S70" s="70"/>
      <c r="T70" s="78"/>
      <c r="U70" s="78"/>
      <c r="V70" s="78"/>
      <c r="W70" s="78"/>
      <c r="X70" s="78"/>
      <c r="AD70" s="86"/>
      <c r="AE70" s="86"/>
      <c r="AF70" s="86"/>
      <c r="AG70" s="79"/>
      <c r="AH70" s="86"/>
      <c r="AI70" s="79"/>
    </row>
    <row r="71" spans="1:35" s="77" customFormat="1" ht="30" customHeight="1" x14ac:dyDescent="0.25">
      <c r="A71" s="68">
        <v>65</v>
      </c>
      <c r="B71" s="69" t="str">
        <f t="shared" ca="1" si="20"/>
        <v>A.7.03</v>
      </c>
      <c r="C71" s="70">
        <f t="shared" ca="1" si="21"/>
        <v>5</v>
      </c>
      <c r="D71" s="20"/>
      <c r="E71" s="91" t="str">
        <f t="shared" ca="1" si="22"/>
        <v>A.7.03</v>
      </c>
      <c r="F71" s="72" t="str">
        <f t="shared" ca="1" si="23"/>
        <v>Do you define selection criteria to help you choose suitable suppliers?</v>
      </c>
      <c r="G71" s="195" t="str">
        <f ca="1">VLOOKUP($A71,Assess_A_Reference,15,FALSE)</f>
        <v/>
      </c>
      <c r="H71" s="195">
        <f ca="1">(VLOOKUP(LEFT($B71,3),Targets_Lookup,5,FALSE))*VLOOKUP($A71,Weightings_Assessments,23,FALSE)</f>
        <v>16</v>
      </c>
      <c r="I71" s="72" t="str">
        <f ca="1">IF(VLOOKUP(A71,Assess_A_Reference,16,FALSE)=0,"",VLOOKUP(A71,Assess_A_Reference,16,FALSE))</f>
        <v/>
      </c>
      <c r="J71" s="70"/>
      <c r="K71" s="70"/>
      <c r="L71" s="70"/>
      <c r="M71" s="70"/>
      <c r="N71" s="70"/>
      <c r="O71" s="70"/>
      <c r="P71" s="70"/>
      <c r="Q71" s="70"/>
      <c r="R71" s="70"/>
      <c r="S71" s="70"/>
      <c r="T71" s="78"/>
      <c r="U71" s="106" t="str">
        <f ca="1">IF(AND(C71&gt;4,VLOOKUP(A71,Assess_A_Reference,34,FALSE)&lt;&gt;8),LEFT(B71,3),"")</f>
        <v>A.7</v>
      </c>
      <c r="V71" s="106">
        <f ca="1">VLOOKUP(A71,Weightings_Assessments,24,FALSE)</f>
        <v>4</v>
      </c>
      <c r="W71" s="106">
        <f ca="1">IF(VLOOKUP(A71,Assess_A_Reference,34,FALSE)=8,0,1)</f>
        <v>1</v>
      </c>
      <c r="X71" s="106">
        <f ca="1">W71*V71*4</f>
        <v>16</v>
      </c>
      <c r="Y71" s="77" t="str">
        <f ca="1">AG71&amp;U71</f>
        <v>A.7</v>
      </c>
      <c r="AD71" s="86"/>
      <c r="AE71" s="86"/>
      <c r="AF71" s="86"/>
      <c r="AG71" s="79"/>
      <c r="AH71" s="86"/>
      <c r="AI71" s="79"/>
    </row>
    <row r="72" spans="1:35" s="77" customFormat="1" ht="135" x14ac:dyDescent="0.25">
      <c r="A72" s="68">
        <v>66</v>
      </c>
      <c r="B72" s="69" t="str">
        <f t="shared" ref="B72:B76" ca="1" si="29">VLOOKUP(A72,Contents_Text,2,FALSE)</f>
        <v/>
      </c>
      <c r="C72" s="70">
        <f t="shared" ca="1" si="21"/>
        <v>3</v>
      </c>
      <c r="D72" s="20"/>
      <c r="E72" s="91" t="str">
        <f t="shared" ca="1" si="22"/>
        <v/>
      </c>
      <c r="F72" s="166" t="str">
        <f t="shared" ca="1" si="23"/>
        <v>Effective supplier selection criteria typically specify that potential suppliers should be able to: provide a reliable, effective and proven penetration testing service; meet compliance standards; protect your information and systems both during and after testing; perform rigorous and effective penetration tests; adhere to a proven testing methodology; carry out a full range of testing, discover all major vulnerabilities, identifying associated ‘root causes’; produce insightful, practical and easy to read reports; provide on-going advice on how to manage systems effectively over time as part of a trusted relationship.</v>
      </c>
      <c r="G72" s="85"/>
      <c r="H72" s="85"/>
      <c r="I72" s="72"/>
      <c r="J72" s="70"/>
      <c r="K72" s="70"/>
      <c r="L72" s="70"/>
      <c r="M72" s="70"/>
      <c r="N72" s="70"/>
      <c r="O72" s="70"/>
      <c r="P72" s="70"/>
      <c r="Q72" s="70"/>
      <c r="R72" s="70"/>
      <c r="S72" s="70"/>
      <c r="T72" s="78"/>
      <c r="U72" s="78"/>
      <c r="V72" s="78"/>
      <c r="W72" s="78"/>
      <c r="X72" s="78"/>
      <c r="AD72" s="86"/>
      <c r="AE72" s="86"/>
      <c r="AF72" s="86"/>
      <c r="AG72" s="79"/>
      <c r="AH72" s="86"/>
      <c r="AI72" s="79"/>
    </row>
    <row r="73" spans="1:35" s="77" customFormat="1" ht="75" x14ac:dyDescent="0.25">
      <c r="A73" s="68">
        <v>67</v>
      </c>
      <c r="B73" s="69" t="str">
        <f t="shared" ca="1" si="29"/>
        <v>A.7.04</v>
      </c>
      <c r="C73" s="70">
        <f t="shared" ca="1" si="21"/>
        <v>5</v>
      </c>
      <c r="D73" s="20"/>
      <c r="E73" s="91" t="str">
        <f t="shared" ca="1" si="22"/>
        <v>A.7.04</v>
      </c>
      <c r="F73" s="72" t="str">
        <f t="shared" ca="1" si="23"/>
        <v>Does your selection criteria consider if potential suppliers can provide: solid reputation, history and ethics; high quality, value-for-money services; research and development capability; highly competent, technical testers; and security and risk management, supported by a strong professional accreditation and complaint process?</v>
      </c>
      <c r="G73" s="195" t="str">
        <f ca="1">VLOOKUP($A73,Assess_A_Reference,15,FALSE)</f>
        <v/>
      </c>
      <c r="H73" s="195">
        <f ca="1">(VLOOKUP(LEFT($B73,3),Targets_Lookup,5,FALSE))*VLOOKUP($A73,Weightings_Assessments,23,FALSE)</f>
        <v>20</v>
      </c>
      <c r="I73" s="72" t="str">
        <f ca="1">IF(VLOOKUP(A73,Assess_A_Reference,16,FALSE)=0,"",VLOOKUP(A73,Assess_A_Reference,16,FALSE))</f>
        <v/>
      </c>
      <c r="J73" s="70"/>
      <c r="K73" s="70"/>
      <c r="L73" s="70"/>
      <c r="M73" s="70"/>
      <c r="N73" s="70"/>
      <c r="O73" s="70"/>
      <c r="P73" s="70"/>
      <c r="Q73" s="70"/>
      <c r="R73" s="70"/>
      <c r="S73" s="70"/>
      <c r="T73" s="78"/>
      <c r="U73" s="106" t="str">
        <f ca="1">IF(AND(C73&gt;4,VLOOKUP(A73,Assess_A_Reference,34,FALSE)&lt;&gt;8),LEFT(B73,3),"")</f>
        <v>A.7</v>
      </c>
      <c r="V73" s="106">
        <f ca="1">VLOOKUP(A73,Weightings_Assessments,24,FALSE)</f>
        <v>5</v>
      </c>
      <c r="W73" s="106">
        <f ca="1">IF(VLOOKUP(A73,Assess_A_Reference,34,FALSE)=8,0,1)</f>
        <v>1</v>
      </c>
      <c r="X73" s="106">
        <f ca="1">W73*V73*4</f>
        <v>20</v>
      </c>
      <c r="Y73" s="77" t="str">
        <f ca="1">AG73&amp;U73</f>
        <v>A.7</v>
      </c>
      <c r="AD73" s="86"/>
      <c r="AE73" s="86"/>
      <c r="AF73" s="86"/>
      <c r="AG73" s="79"/>
      <c r="AH73" s="86"/>
      <c r="AI73" s="79"/>
    </row>
    <row r="74" spans="1:35" s="77" customFormat="1" ht="45" x14ac:dyDescent="0.25">
      <c r="A74" s="68">
        <v>68</v>
      </c>
      <c r="B74" s="69" t="str">
        <f t="shared" ca="1" si="29"/>
        <v>A.7.05</v>
      </c>
      <c r="C74" s="70">
        <f t="shared" ca="1" si="21"/>
        <v>5</v>
      </c>
      <c r="D74" s="20"/>
      <c r="E74" s="91" t="str">
        <f t="shared" ca="1" si="22"/>
        <v>A.7.05</v>
      </c>
      <c r="F74" s="72" t="str">
        <f t="shared" ca="1" si="23"/>
        <v>Do you ensure that your chosen suppliers are able to effectively meet – or exceed - your supplier selection criteria and provide tangible value for money?</v>
      </c>
      <c r="G74" s="195" t="str">
        <f ca="1">VLOOKUP($A74,Assess_A_Reference,15,FALSE)</f>
        <v/>
      </c>
      <c r="H74" s="195">
        <f ca="1">(VLOOKUP(LEFT($B74,3),Targets_Lookup,5,FALSE))*VLOOKUP($A74,Weightings_Assessments,23,FALSE)</f>
        <v>12</v>
      </c>
      <c r="I74" s="72" t="str">
        <f ca="1">IF(VLOOKUP(A74,Assess_A_Reference,16,FALSE)=0,"",VLOOKUP(A74,Assess_A_Reference,16,FALSE))</f>
        <v/>
      </c>
      <c r="J74" s="70"/>
      <c r="K74" s="70"/>
      <c r="L74" s="70"/>
      <c r="M74" s="70"/>
      <c r="N74" s="70"/>
      <c r="O74" s="70"/>
      <c r="P74" s="70"/>
      <c r="Q74" s="70"/>
      <c r="R74" s="70"/>
      <c r="S74" s="70"/>
      <c r="T74" s="78"/>
      <c r="U74" s="106" t="str">
        <f ca="1">IF(AND(C74&gt;4,VLOOKUP(A74,Assess_A_Reference,34,FALSE)&lt;&gt;8),LEFT(B74,3),"")</f>
        <v>A.7</v>
      </c>
      <c r="V74" s="106">
        <f ca="1">VLOOKUP(A74,Weightings_Assessments,24,FALSE)</f>
        <v>3</v>
      </c>
      <c r="W74" s="106">
        <f ca="1">IF(VLOOKUP(A74,Assess_A_Reference,34,FALSE)=8,0,1)</f>
        <v>1</v>
      </c>
      <c r="X74" s="106">
        <f ca="1">W74*V74*4</f>
        <v>12</v>
      </c>
      <c r="Y74" s="77" t="str">
        <f ca="1">AG74&amp;U74</f>
        <v>A.7</v>
      </c>
      <c r="AD74" s="86"/>
      <c r="AE74" s="86"/>
      <c r="AF74" s="86"/>
      <c r="AG74" s="79"/>
      <c r="AH74" s="86"/>
      <c r="AI74" s="79"/>
    </row>
    <row r="75" spans="1:35" s="77" customFormat="1" ht="45" x14ac:dyDescent="0.25">
      <c r="A75" s="68">
        <v>69</v>
      </c>
      <c r="B75" s="69" t="str">
        <f t="shared" ca="1" si="29"/>
        <v>A.7.06</v>
      </c>
      <c r="C75" s="70">
        <f t="shared" ca="1" si="21"/>
        <v>5</v>
      </c>
      <c r="D75" s="20"/>
      <c r="E75" s="91" t="str">
        <f t="shared" ca="1" si="22"/>
        <v>A.7.06</v>
      </c>
      <c r="F75" s="72" t="str">
        <f t="shared" ca="1" si="23"/>
        <v>Do you validate the ability of potential suppliers to meet your specific requirements (not just one who can offer a variety of often impressive products and services, some of which may not necessarily be relevant)?</v>
      </c>
      <c r="G75" s="195" t="str">
        <f ca="1">VLOOKUP($A75,Assess_A_Reference,15,FALSE)</f>
        <v/>
      </c>
      <c r="H75" s="195">
        <f ca="1">(VLOOKUP(LEFT($B75,3),Targets_Lookup,5,FALSE))*VLOOKUP($A75,Weightings_Assessments,23,FALSE)</f>
        <v>16</v>
      </c>
      <c r="I75" s="72" t="str">
        <f ca="1">IF(VLOOKUP(A75,Assess_A_Reference,16,FALSE)=0,"",VLOOKUP(A75,Assess_A_Reference,16,FALSE))</f>
        <v/>
      </c>
      <c r="J75" s="70"/>
      <c r="K75" s="70"/>
      <c r="L75" s="70"/>
      <c r="M75" s="70"/>
      <c r="N75" s="70"/>
      <c r="O75" s="70"/>
      <c r="P75" s="70"/>
      <c r="Q75" s="70"/>
      <c r="R75" s="70"/>
      <c r="S75" s="70"/>
      <c r="T75" s="78"/>
      <c r="U75" s="106" t="str">
        <f ca="1">IF(AND(C75&gt;4,VLOOKUP(A75,Assess_A_Reference,34,FALSE)&lt;&gt;8),LEFT(B75,3),"")</f>
        <v>A.7</v>
      </c>
      <c r="V75" s="106">
        <f ca="1">VLOOKUP(A75,Weightings_Assessments,24,FALSE)</f>
        <v>4</v>
      </c>
      <c r="W75" s="106">
        <f ca="1">IF(VLOOKUP(A75,Assess_A_Reference,34,FALSE)=8,0,1)</f>
        <v>1</v>
      </c>
      <c r="X75" s="106">
        <f ca="1">W75*V75*4</f>
        <v>16</v>
      </c>
      <c r="Y75" s="77" t="str">
        <f ca="1">AG75&amp;U75</f>
        <v>A.7</v>
      </c>
      <c r="AD75" s="86"/>
      <c r="AE75" s="86"/>
      <c r="AF75" s="86"/>
      <c r="AG75" s="79"/>
      <c r="AH75" s="86"/>
      <c r="AI75" s="79"/>
    </row>
    <row r="76" spans="1:35" s="77" customFormat="1" ht="30" customHeight="1" x14ac:dyDescent="0.25">
      <c r="A76" s="68">
        <v>70</v>
      </c>
      <c r="B76" s="69" t="str">
        <f t="shared" ca="1" si="29"/>
        <v>A.7.07</v>
      </c>
      <c r="C76" s="70">
        <f t="shared" ca="1" si="21"/>
        <v>5</v>
      </c>
      <c r="D76" s="20"/>
      <c r="E76" s="91" t="str">
        <f t="shared" ca="1" si="22"/>
        <v>A.7.07</v>
      </c>
      <c r="F76" s="72" t="str">
        <f t="shared" ca="1" si="23"/>
        <v>Do you go through a formal, approved appointment process for selected penetration testing suppliers?</v>
      </c>
      <c r="G76" s="195" t="str">
        <f ca="1">VLOOKUP($A76,Assess_A_Reference,15,FALSE)</f>
        <v/>
      </c>
      <c r="H76" s="195">
        <f ca="1">(VLOOKUP(LEFT($B76,3),Targets_Lookup,5,FALSE))*VLOOKUP($A76,Weightings_Assessments,23,FALSE)</f>
        <v>12</v>
      </c>
      <c r="I76" s="72" t="str">
        <f ca="1">IF(VLOOKUP(A76,Assess_A_Reference,16,FALSE)=0,"",VLOOKUP(A76,Assess_A_Reference,16,FALSE))</f>
        <v/>
      </c>
      <c r="J76" s="70"/>
      <c r="K76" s="70"/>
      <c r="L76" s="70"/>
      <c r="M76" s="70"/>
      <c r="N76" s="70"/>
      <c r="O76" s="70"/>
      <c r="P76" s="70"/>
      <c r="Q76" s="70"/>
      <c r="R76" s="70"/>
      <c r="S76" s="70"/>
      <c r="T76" s="78"/>
      <c r="U76" s="106" t="str">
        <f ca="1">IF(AND(C76&gt;4,VLOOKUP(A76,Assess_A_Reference,34,FALSE)&lt;&gt;8),LEFT(B76,3),"")</f>
        <v>A.7</v>
      </c>
      <c r="V76" s="106">
        <f ca="1">VLOOKUP(A76,Weightings_Assessments,24,FALSE)</f>
        <v>3</v>
      </c>
      <c r="W76" s="106">
        <f ca="1">IF(VLOOKUP(A76,Assess_A_Reference,34,FALSE)=8,0,1)</f>
        <v>1</v>
      </c>
      <c r="X76" s="106">
        <f ca="1">W76*V76*4</f>
        <v>12</v>
      </c>
      <c r="Y76" s="77" t="str">
        <f ca="1">AG76&amp;U76</f>
        <v>A.7</v>
      </c>
      <c r="AD76" s="86"/>
      <c r="AE76" s="86"/>
      <c r="AF76" s="86"/>
      <c r="AG76" s="79"/>
      <c r="AH76" s="86"/>
      <c r="AI76" s="79"/>
    </row>
  </sheetData>
  <sheetProtection algorithmName="SHA-512" hashValue="seWrbYsRZzoPrTWGB1axVkF5OcGNQUnnBj2fOgbVNzNZ0v3eY0XehxrH2S05OSCORPiarkZTqwnzj0iw0J9cDw==" saltValue="l4Ky5v7s3J8iqU8LqpTaTQ==" spinCount="100000" sheet="1" objects="1" scenarios="1"/>
  <sortState xmlns:xlrd2="http://schemas.microsoft.com/office/spreadsheetml/2017/richdata2" ref="A8:AI76">
    <sortCondition ref="A8:A76"/>
  </sortState>
  <mergeCells count="2">
    <mergeCell ref="F2:I3"/>
    <mergeCell ref="F4:I5"/>
  </mergeCells>
  <conditionalFormatting sqref="G33 G15">
    <cfRule type="dataBar" priority="14">
      <dataBar>
        <cfvo type="num" val="0"/>
        <cfvo type="num" val="20"/>
        <color rgb="FF638EC6"/>
      </dataBar>
      <extLst>
        <ext xmlns:x14="http://schemas.microsoft.com/office/spreadsheetml/2009/9/main" uri="{B025F937-C7B1-47D3-B67F-A62EFF666E3E}">
          <x14:id>{018D2FA3-DA45-45D1-99D6-F32F5C9CE8AA}</x14:id>
        </ext>
      </extLst>
    </cfRule>
  </conditionalFormatting>
  <conditionalFormatting sqref="H33 H15">
    <cfRule type="dataBar" priority="13">
      <dataBar>
        <cfvo type="num" val="0"/>
        <cfvo type="num" val="20"/>
        <color rgb="FF00B050"/>
      </dataBar>
      <extLst>
        <ext xmlns:x14="http://schemas.microsoft.com/office/spreadsheetml/2009/9/main" uri="{B025F937-C7B1-47D3-B67F-A62EFF666E3E}">
          <x14:id>{4BB5F45C-8F86-417D-8A10-26420E98D74D}</x14:id>
        </ext>
      </extLst>
    </cfRule>
  </conditionalFormatting>
  <conditionalFormatting sqref="G16:G32">
    <cfRule type="dataBar" priority="8">
      <dataBar>
        <cfvo type="num" val="0"/>
        <cfvo type="num" val="20"/>
        <color rgb="FF638EC6"/>
      </dataBar>
      <extLst>
        <ext xmlns:x14="http://schemas.microsoft.com/office/spreadsheetml/2009/9/main" uri="{B025F937-C7B1-47D3-B67F-A62EFF666E3E}">
          <x14:id>{BA668B19-3CD6-4F26-BDB5-B10A6102F2D9}</x14:id>
        </ext>
      </extLst>
    </cfRule>
  </conditionalFormatting>
  <conditionalFormatting sqref="H16:H32">
    <cfRule type="dataBar" priority="7">
      <dataBar>
        <cfvo type="num" val="0"/>
        <cfvo type="num" val="20"/>
        <color rgb="FF00B050"/>
      </dataBar>
      <extLst>
        <ext xmlns:x14="http://schemas.microsoft.com/office/spreadsheetml/2009/9/main" uri="{B025F937-C7B1-47D3-B67F-A62EFF666E3E}">
          <x14:id>{381114C1-B36E-4CE9-BE46-A8C13D4A8A33}</x14:id>
        </ext>
      </extLst>
    </cfRule>
  </conditionalFormatting>
  <conditionalFormatting sqref="G9:G14">
    <cfRule type="dataBar" priority="2">
      <dataBar>
        <cfvo type="num" val="0"/>
        <cfvo type="num" val="20"/>
        <color rgb="FF638EC6"/>
      </dataBar>
      <extLst>
        <ext xmlns:x14="http://schemas.microsoft.com/office/spreadsheetml/2009/9/main" uri="{B025F937-C7B1-47D3-B67F-A62EFF666E3E}">
          <x14:id>{471DE177-8967-4127-9682-F45F3B46CF28}</x14:id>
        </ext>
      </extLst>
    </cfRule>
  </conditionalFormatting>
  <conditionalFormatting sqref="H9:H14">
    <cfRule type="dataBar" priority="1">
      <dataBar>
        <cfvo type="num" val="0"/>
        <cfvo type="num" val="20"/>
        <color rgb="FF00B050"/>
      </dataBar>
      <extLst>
        <ext xmlns:x14="http://schemas.microsoft.com/office/spreadsheetml/2009/9/main" uri="{B025F937-C7B1-47D3-B67F-A62EFF666E3E}">
          <x14:id>{CCAF1C0A-F346-4361-ACF7-B8D030CD3451}</x14:id>
        </ext>
      </extLst>
    </cfRule>
  </conditionalFormatting>
  <conditionalFormatting sqref="G34:G76">
    <cfRule type="dataBar" priority="4">
      <dataBar>
        <cfvo type="num" val="0"/>
        <cfvo type="num" val="20"/>
        <color rgb="FF638EC6"/>
      </dataBar>
      <extLst>
        <ext xmlns:x14="http://schemas.microsoft.com/office/spreadsheetml/2009/9/main" uri="{B025F937-C7B1-47D3-B67F-A62EFF666E3E}">
          <x14:id>{AADA85B9-E88B-4EAB-A45E-1FE1A983B783}</x14:id>
        </ext>
      </extLst>
    </cfRule>
  </conditionalFormatting>
  <conditionalFormatting sqref="H34:H76">
    <cfRule type="dataBar" priority="3">
      <dataBar>
        <cfvo type="num" val="0"/>
        <cfvo type="num" val="20"/>
        <color rgb="FF00B050"/>
      </dataBar>
      <extLst>
        <ext xmlns:x14="http://schemas.microsoft.com/office/spreadsheetml/2009/9/main" uri="{B025F937-C7B1-47D3-B67F-A62EFF666E3E}">
          <x14:id>{F53E1EF0-0D29-4910-A846-554C150F1F7A}</x14:id>
        </ext>
      </extLst>
    </cfRule>
  </conditionalFormatting>
  <pageMargins left="0.7" right="0.7" top="0.75" bottom="0.75" header="0.3" footer="0.3"/>
  <pageSetup paperSize="9" scale="73"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dataBar" id="{018D2FA3-DA45-45D1-99D6-F32F5C9CE8AA}">
            <x14:dataBar minLength="0" maxLength="100" gradient="0">
              <x14:cfvo type="num">
                <xm:f>0</xm:f>
              </x14:cfvo>
              <x14:cfvo type="num">
                <xm:f>20</xm:f>
              </x14:cfvo>
              <x14:negativeFillColor rgb="FFFF0000"/>
              <x14:axisColor rgb="FF000000"/>
            </x14:dataBar>
          </x14:cfRule>
          <xm:sqref>G33 G15</xm:sqref>
        </x14:conditionalFormatting>
        <x14:conditionalFormatting xmlns:xm="http://schemas.microsoft.com/office/excel/2006/main">
          <x14:cfRule type="dataBar" id="{4BB5F45C-8F86-417D-8A10-26420E98D74D}">
            <x14:dataBar minLength="0" maxLength="100" gradient="0">
              <x14:cfvo type="num">
                <xm:f>0</xm:f>
              </x14:cfvo>
              <x14:cfvo type="num">
                <xm:f>20</xm:f>
              </x14:cfvo>
              <x14:negativeFillColor rgb="FFFF0000"/>
              <x14:axisColor rgb="FF000000"/>
            </x14:dataBar>
          </x14:cfRule>
          <xm:sqref>H33 H15</xm:sqref>
        </x14:conditionalFormatting>
        <x14:conditionalFormatting xmlns:xm="http://schemas.microsoft.com/office/excel/2006/main">
          <x14:cfRule type="dataBar" id="{BA668B19-3CD6-4F26-BDB5-B10A6102F2D9}">
            <x14:dataBar minLength="0" maxLength="100" gradient="0">
              <x14:cfvo type="num">
                <xm:f>0</xm:f>
              </x14:cfvo>
              <x14:cfvo type="num">
                <xm:f>20</xm:f>
              </x14:cfvo>
              <x14:negativeFillColor rgb="FFFF0000"/>
              <x14:axisColor rgb="FF000000"/>
            </x14:dataBar>
          </x14:cfRule>
          <xm:sqref>G16:G32</xm:sqref>
        </x14:conditionalFormatting>
        <x14:conditionalFormatting xmlns:xm="http://schemas.microsoft.com/office/excel/2006/main">
          <x14:cfRule type="dataBar" id="{381114C1-B36E-4CE9-BE46-A8C13D4A8A33}">
            <x14:dataBar minLength="0" maxLength="100" gradient="0">
              <x14:cfvo type="num">
                <xm:f>0</xm:f>
              </x14:cfvo>
              <x14:cfvo type="num">
                <xm:f>20</xm:f>
              </x14:cfvo>
              <x14:negativeFillColor rgb="FFFF0000"/>
              <x14:axisColor rgb="FF000000"/>
            </x14:dataBar>
          </x14:cfRule>
          <xm:sqref>H16:H32</xm:sqref>
        </x14:conditionalFormatting>
        <x14:conditionalFormatting xmlns:xm="http://schemas.microsoft.com/office/excel/2006/main">
          <x14:cfRule type="dataBar" id="{471DE177-8967-4127-9682-F45F3B46CF28}">
            <x14:dataBar minLength="0" maxLength="100" gradient="0">
              <x14:cfvo type="num">
                <xm:f>0</xm:f>
              </x14:cfvo>
              <x14:cfvo type="num">
                <xm:f>20</xm:f>
              </x14:cfvo>
              <x14:negativeFillColor rgb="FFFF0000"/>
              <x14:axisColor rgb="FF000000"/>
            </x14:dataBar>
          </x14:cfRule>
          <xm:sqref>G9:G14</xm:sqref>
        </x14:conditionalFormatting>
        <x14:conditionalFormatting xmlns:xm="http://schemas.microsoft.com/office/excel/2006/main">
          <x14:cfRule type="dataBar" id="{CCAF1C0A-F346-4361-ACF7-B8D030CD3451}">
            <x14:dataBar minLength="0" maxLength="100" gradient="0">
              <x14:cfvo type="num">
                <xm:f>0</xm:f>
              </x14:cfvo>
              <x14:cfvo type="num">
                <xm:f>20</xm:f>
              </x14:cfvo>
              <x14:negativeFillColor rgb="FFFF0000"/>
              <x14:axisColor rgb="FF000000"/>
            </x14:dataBar>
          </x14:cfRule>
          <xm:sqref>H9:H14</xm:sqref>
        </x14:conditionalFormatting>
        <x14:conditionalFormatting xmlns:xm="http://schemas.microsoft.com/office/excel/2006/main">
          <x14:cfRule type="dataBar" id="{AADA85B9-E88B-4EAB-A45E-1FE1A983B783}">
            <x14:dataBar minLength="0" maxLength="100" gradient="0">
              <x14:cfvo type="num">
                <xm:f>0</xm:f>
              </x14:cfvo>
              <x14:cfvo type="num">
                <xm:f>20</xm:f>
              </x14:cfvo>
              <x14:negativeFillColor rgb="FFFF0000"/>
              <x14:axisColor rgb="FF000000"/>
            </x14:dataBar>
          </x14:cfRule>
          <xm:sqref>G34:G76</xm:sqref>
        </x14:conditionalFormatting>
        <x14:conditionalFormatting xmlns:xm="http://schemas.microsoft.com/office/excel/2006/main">
          <x14:cfRule type="dataBar" id="{F53E1EF0-0D29-4910-A846-554C150F1F7A}">
            <x14:dataBar minLength="0" maxLength="100" gradient="0">
              <x14:cfvo type="num">
                <xm:f>0</xm:f>
              </x14:cfvo>
              <x14:cfvo type="num">
                <xm:f>20</xm:f>
              </x14:cfvo>
              <x14:negativeFillColor rgb="FFFF0000"/>
              <x14:axisColor rgb="FF000000"/>
            </x14:dataBar>
          </x14:cfRule>
          <xm:sqref>H34:H76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00B050"/>
    <pageSetUpPr autoPageBreaks="0" fitToPage="1"/>
  </sheetPr>
  <dimension ref="A2:AI104"/>
  <sheetViews>
    <sheetView showGridLines="0" showRowColHeaders="0" zoomScaleNormal="100" workbookViewId="0">
      <pane ySplit="7" topLeftCell="A8" activePane="bottomLeft" state="frozen"/>
      <selection activeCell="D1" sqref="D1"/>
      <selection pane="bottomLeft" activeCell="I12" sqref="I12"/>
    </sheetView>
  </sheetViews>
  <sheetFormatPr defaultColWidth="9.140625" defaultRowHeight="15" x14ac:dyDescent="0.25"/>
  <cols>
    <col min="1" max="1" width="9.28515625" style="171" hidden="1" customWidth="1"/>
    <col min="2" max="3" width="8.85546875" style="21" hidden="1" customWidth="1"/>
    <col min="4" max="4" width="6.28515625" style="21" customWidth="1"/>
    <col min="5" max="5" width="15.5703125" style="21" customWidth="1"/>
    <col min="6" max="6" width="67.42578125" style="21" customWidth="1"/>
    <col min="7" max="8" width="27" style="21" customWidth="1"/>
    <col min="9" max="9" width="41.7109375" style="88" customWidth="1"/>
    <col min="10" max="11" width="9.140625" style="21" customWidth="1"/>
    <col min="12" max="18" width="9.140625" style="21" hidden="1" customWidth="1"/>
    <col min="19" max="20" width="9.140625" style="21" customWidth="1"/>
    <col min="21" max="25" width="9.140625" style="21" hidden="1" customWidth="1"/>
    <col min="26" max="28" width="9.140625" style="21"/>
    <col min="29" max="29" width="9.140625" style="21" customWidth="1"/>
    <col min="30" max="35" width="9.140625" style="21" hidden="1" customWidth="1"/>
    <col min="36" max="16384" width="9.140625" style="21"/>
  </cols>
  <sheetData>
    <row r="2" spans="1:35" s="53" customFormat="1" ht="15" customHeight="1" x14ac:dyDescent="0.25">
      <c r="A2" s="171"/>
      <c r="B2" s="21"/>
      <c r="C2" s="21"/>
      <c r="D2" s="21"/>
      <c r="E2" s="21"/>
      <c r="F2" s="326" t="str">
        <f>"Results"&amp;IF(LEN(profile_name_of_organisation)=0,""," for "&amp;profile_name_of_organisation)</f>
        <v>Results</v>
      </c>
      <c r="G2" s="326"/>
      <c r="H2" s="326"/>
      <c r="I2" s="326"/>
      <c r="J2" s="114"/>
      <c r="K2" s="114"/>
      <c r="L2" s="114"/>
      <c r="M2" s="114"/>
      <c r="N2" s="114"/>
      <c r="O2" s="114"/>
      <c r="P2" s="114"/>
      <c r="Q2" s="114"/>
      <c r="R2" s="114"/>
      <c r="S2" s="114"/>
      <c r="T2" s="114"/>
      <c r="U2" s="114"/>
      <c r="V2" s="114"/>
      <c r="W2" s="114"/>
      <c r="X2" s="114"/>
    </row>
    <row r="3" spans="1:35" s="53" customFormat="1" ht="15" customHeight="1" x14ac:dyDescent="0.25">
      <c r="A3" s="171"/>
      <c r="B3" s="21"/>
      <c r="C3" s="21"/>
      <c r="D3" s="21"/>
      <c r="E3" s="21"/>
      <c r="F3" s="326"/>
      <c r="G3" s="326"/>
      <c r="H3" s="326"/>
      <c r="I3" s="326"/>
      <c r="J3" s="114"/>
      <c r="K3" s="114"/>
      <c r="L3" s="114"/>
      <c r="M3" s="114"/>
      <c r="N3" s="114"/>
      <c r="O3" s="114"/>
      <c r="P3" s="114"/>
      <c r="Q3" s="114"/>
      <c r="R3" s="114"/>
      <c r="S3" s="114"/>
      <c r="T3" s="114"/>
      <c r="U3" s="114"/>
      <c r="V3" s="114"/>
      <c r="W3" s="114"/>
      <c r="X3" s="114"/>
    </row>
    <row r="4" spans="1:35" s="53" customFormat="1" ht="15" customHeight="1" x14ac:dyDescent="0.25">
      <c r="A4" s="171"/>
      <c r="B4" s="21"/>
      <c r="C4" s="21"/>
      <c r="D4" s="21"/>
      <c r="E4" s="21"/>
      <c r="F4" s="327" t="str">
        <f ca="1">'Assess B'!F2</f>
        <v>Maturity model for Stage B - Testing</v>
      </c>
      <c r="G4" s="327"/>
      <c r="H4" s="327"/>
      <c r="I4" s="327"/>
      <c r="J4" s="114"/>
      <c r="K4" s="114"/>
      <c r="L4" s="114"/>
      <c r="M4" s="114"/>
      <c r="N4" s="114"/>
      <c r="O4" s="114"/>
      <c r="P4" s="114"/>
      <c r="Q4" s="114"/>
      <c r="R4" s="114"/>
      <c r="S4" s="114"/>
      <c r="T4" s="114"/>
      <c r="U4" s="114"/>
      <c r="V4" s="114"/>
      <c r="W4" s="114"/>
      <c r="X4" s="114"/>
    </row>
    <row r="5" spans="1:35" s="53" customFormat="1" ht="15" customHeight="1" x14ac:dyDescent="0.25">
      <c r="A5" s="171"/>
      <c r="B5" s="21"/>
      <c r="C5" s="21"/>
      <c r="D5" s="21"/>
      <c r="E5" s="21"/>
      <c r="F5" s="327"/>
      <c r="G5" s="327"/>
      <c r="H5" s="327"/>
      <c r="I5" s="327"/>
      <c r="J5" s="114"/>
      <c r="K5" s="114"/>
      <c r="L5" s="114"/>
      <c r="M5" s="114"/>
      <c r="N5" s="114"/>
      <c r="O5" s="114"/>
      <c r="P5" s="114"/>
      <c r="Q5" s="114"/>
      <c r="R5" s="114"/>
      <c r="S5" s="114"/>
      <c r="T5" s="114"/>
      <c r="U5" s="114"/>
      <c r="V5" s="114"/>
      <c r="W5" s="114"/>
      <c r="X5" s="114"/>
    </row>
    <row r="7" spans="1:35" ht="20.25" thickBot="1" x14ac:dyDescent="0.35">
      <c r="A7" s="9" t="s">
        <v>72</v>
      </c>
      <c r="B7" s="66" t="s">
        <v>77</v>
      </c>
      <c r="C7" s="13" t="s">
        <v>76</v>
      </c>
      <c r="F7" s="54"/>
      <c r="G7" s="59" t="s">
        <v>223</v>
      </c>
      <c r="H7" s="60" t="s">
        <v>215</v>
      </c>
      <c r="I7" s="89" t="s">
        <v>53</v>
      </c>
      <c r="AD7" s="161"/>
      <c r="AE7" s="161"/>
      <c r="AF7" s="161"/>
      <c r="AG7" s="162"/>
      <c r="AH7" s="161"/>
      <c r="AI7" s="162"/>
    </row>
    <row r="8" spans="1:35" s="76" customFormat="1" ht="30" customHeight="1" x14ac:dyDescent="0.25">
      <c r="A8" s="73">
        <v>72</v>
      </c>
      <c r="B8" s="74" t="str">
        <f t="shared" ref="B8:B39" ca="1" si="0">VLOOKUP(A8,Contents_Text,2,FALSE)</f>
        <v>B.1</v>
      </c>
      <c r="C8" s="20">
        <f t="shared" ref="C8:C39" ca="1" si="1">VLOOKUP(A8,Contents_Text,15,FALSE)</f>
        <v>2</v>
      </c>
      <c r="D8" s="92"/>
      <c r="E8" s="67" t="str">
        <f t="shared" ref="E8:E39" ca="1" si="2">IF(C8=1,"Phase "&amp;B8,IF(C8=2,"Step "&amp;VLOOKUP(A8,Contents_Text,4,FALSE),B8))</f>
        <v>Step 1</v>
      </c>
      <c r="F8" s="112" t="str">
        <f t="shared" ref="F8:F39" ca="1" si="3">VLOOKUP(A8,Contents_Text,7,FALSE)</f>
        <v>Agree testing style and type</v>
      </c>
      <c r="G8" s="113" t="str">
        <f ca="1">"Maturity level:  "&amp;O8</f>
        <v>Maturity level:  Level 1</v>
      </c>
      <c r="H8" s="114"/>
      <c r="I8" s="118"/>
      <c r="J8" s="114"/>
      <c r="K8" s="114"/>
      <c r="L8" s="114" t="str">
        <f ca="1">TEXT(B8,"0.0")</f>
        <v>B.1</v>
      </c>
      <c r="M8" s="113">
        <f ca="1">SUMIF(Y:Y,L8,G:G)/(SUMIF(Y:Y,L8,X:X))</f>
        <v>0</v>
      </c>
      <c r="N8" s="113" t="str">
        <f ca="1">HLOOKUP(M8*100,level_ref,2,TRUE)</f>
        <v>Level 1</v>
      </c>
      <c r="O8" s="113" t="str">
        <f ca="1">IF(ISERROR(N8),"",N8)</f>
        <v>Level 1</v>
      </c>
      <c r="P8" s="113">
        <f ca="1">HLOOKUP(M8*100,level_ref,3,TRUE)</f>
        <v>1</v>
      </c>
      <c r="Q8" s="113">
        <f ca="1">IF(ISERROR(P8),"",P8)</f>
        <v>1</v>
      </c>
      <c r="R8" s="113">
        <f ca="1">M8*5</f>
        <v>0</v>
      </c>
      <c r="S8" s="113"/>
      <c r="T8" s="113"/>
      <c r="U8" s="113" t="str">
        <f t="shared" ref="U8:U17" ca="1" si="4">IF(AND(C8&gt;4,VLOOKUP(A8,Assess_B_Reference,34,FALSE)&lt;&gt;8),LEFT(B8,3),"")</f>
        <v/>
      </c>
      <c r="V8" s="113">
        <f t="shared" ref="V8:V17" ca="1" si="5">VLOOKUP(A8,Weightings_Assessments,24,FALSE)</f>
        <v>0</v>
      </c>
      <c r="W8" s="113">
        <f t="shared" ref="W8:W17" ca="1" si="6">IF(VLOOKUP(A8,Assess_B_Reference,34,FALSE)=8,0,1)</f>
        <v>1</v>
      </c>
      <c r="X8" s="113">
        <f t="shared" ref="X8:X17" ca="1" si="7">W8*V8*4</f>
        <v>0</v>
      </c>
      <c r="Y8" s="76" t="str">
        <f t="shared" ref="Y8:Y17" ca="1" si="8">AG8&amp;U8</f>
        <v/>
      </c>
      <c r="AD8" s="86"/>
      <c r="AE8" s="86"/>
      <c r="AF8" s="86"/>
      <c r="AG8" s="79"/>
      <c r="AH8" s="86"/>
      <c r="AI8" s="79"/>
    </row>
    <row r="9" spans="1:35" s="77" customFormat="1" ht="30" customHeight="1" x14ac:dyDescent="0.25">
      <c r="A9" s="68">
        <v>73</v>
      </c>
      <c r="B9" s="69" t="str">
        <f t="shared" ca="1" si="0"/>
        <v>B.1.01</v>
      </c>
      <c r="C9" s="70">
        <f t="shared" ca="1" si="1"/>
        <v>5</v>
      </c>
      <c r="D9" s="20"/>
      <c r="E9" s="91" t="str">
        <f t="shared" ca="1" si="2"/>
        <v>B.1.01</v>
      </c>
      <c r="F9" s="72" t="str">
        <f t="shared" ca="1" si="3"/>
        <v>Do you identify what style of penetration testing is required?</v>
      </c>
      <c r="G9" s="195" t="str">
        <f t="shared" ref="G9:G14" ca="1" si="9">VLOOKUP($A9,Assess_B_Reference,15,FALSE)</f>
        <v/>
      </c>
      <c r="H9" s="195">
        <f t="shared" ref="H9:H14" ca="1" si="10">(VLOOKUP(LEFT($B9,3),Targets_Lookup,5,FALSE))*VLOOKUP($A9,Weightings_Assessments,23,FALSE)</f>
        <v>4</v>
      </c>
      <c r="I9" s="72" t="str">
        <f t="shared" ref="I9:I14" ca="1" si="11">IF(VLOOKUP(A9,Assess_B_Reference,16,FALSE)=0,"",VLOOKUP(A9,Assess_B_Reference,16,FALSE))</f>
        <v/>
      </c>
      <c r="J9" s="70"/>
      <c r="K9" s="70"/>
      <c r="L9" s="70"/>
      <c r="M9" s="70"/>
      <c r="N9" s="70"/>
      <c r="O9" s="70"/>
      <c r="P9" s="70"/>
      <c r="Q9" s="70"/>
      <c r="R9" s="70"/>
      <c r="S9" s="70"/>
      <c r="T9" s="78"/>
      <c r="U9" s="106" t="str">
        <f t="shared" ca="1" si="4"/>
        <v>B.1</v>
      </c>
      <c r="V9" s="106">
        <f t="shared" ca="1" si="5"/>
        <v>1</v>
      </c>
      <c r="W9" s="106">
        <f t="shared" ca="1" si="6"/>
        <v>1</v>
      </c>
      <c r="X9" s="106">
        <f t="shared" ca="1" si="7"/>
        <v>4</v>
      </c>
      <c r="Y9" s="77" t="str">
        <f t="shared" ca="1" si="8"/>
        <v>B.1</v>
      </c>
      <c r="AD9" s="86"/>
      <c r="AE9" s="86"/>
      <c r="AF9" s="86"/>
      <c r="AG9" s="79"/>
      <c r="AH9" s="86"/>
      <c r="AI9" s="79"/>
    </row>
    <row r="10" spans="1:35" s="77" customFormat="1" ht="30" customHeight="1" x14ac:dyDescent="0.25">
      <c r="A10" s="68">
        <v>74</v>
      </c>
      <c r="B10" s="69" t="str">
        <f t="shared" ca="1" si="0"/>
        <v>B.1.02</v>
      </c>
      <c r="C10" s="70">
        <f t="shared" ca="1" si="1"/>
        <v>5</v>
      </c>
      <c r="D10" s="20"/>
      <c r="E10" s="91" t="str">
        <f t="shared" ca="1" si="2"/>
        <v>B.1.02</v>
      </c>
      <c r="F10" s="72" t="str">
        <f t="shared" ca="1" si="3"/>
        <v>Does your identification of testing style evaluate the need for ‘Black box’, ‘Grey box’ and / or ‘White box’ testing?</v>
      </c>
      <c r="G10" s="195" t="str">
        <f t="shared" ca="1" si="9"/>
        <v/>
      </c>
      <c r="H10" s="195">
        <f t="shared" ca="1" si="10"/>
        <v>8</v>
      </c>
      <c r="I10" s="72" t="str">
        <f t="shared" ca="1" si="11"/>
        <v/>
      </c>
      <c r="J10" s="70"/>
      <c r="K10" s="70"/>
      <c r="L10" s="70"/>
      <c r="M10" s="70"/>
      <c r="N10" s="70"/>
      <c r="O10" s="70"/>
      <c r="P10" s="70"/>
      <c r="Q10" s="70"/>
      <c r="R10" s="70"/>
      <c r="S10" s="70"/>
      <c r="T10" s="78"/>
      <c r="U10" s="106" t="str">
        <f t="shared" ca="1" si="4"/>
        <v>B.1</v>
      </c>
      <c r="V10" s="106">
        <f t="shared" ca="1" si="5"/>
        <v>2</v>
      </c>
      <c r="W10" s="106">
        <f t="shared" ca="1" si="6"/>
        <v>1</v>
      </c>
      <c r="X10" s="106">
        <f t="shared" ca="1" si="7"/>
        <v>8</v>
      </c>
      <c r="Y10" s="77" t="str">
        <f t="shared" ca="1" si="8"/>
        <v>B.1</v>
      </c>
      <c r="AD10" s="86"/>
      <c r="AE10" s="86"/>
      <c r="AF10" s="86"/>
      <c r="AG10" s="79"/>
      <c r="AH10" s="86"/>
      <c r="AI10" s="79"/>
    </row>
    <row r="11" spans="1:35" s="77" customFormat="1" ht="45" x14ac:dyDescent="0.25">
      <c r="A11" s="68">
        <v>75</v>
      </c>
      <c r="B11" s="69" t="str">
        <f t="shared" ca="1" si="0"/>
        <v>B.1.03</v>
      </c>
      <c r="C11" s="70">
        <f t="shared" ca="1" si="1"/>
        <v>5</v>
      </c>
      <c r="D11" s="20"/>
      <c r="E11" s="91" t="str">
        <f t="shared" ca="1" si="2"/>
        <v>B.1.03</v>
      </c>
      <c r="F11" s="72" t="str">
        <f t="shared" ca="1" si="3"/>
        <v>Does your identification of testing style consider the use of an ‘external’ penetration test (the most common type of test), which is aimed at IT systems from ‘outside the building’?</v>
      </c>
      <c r="G11" s="195" t="str">
        <f t="shared" ca="1" si="9"/>
        <v/>
      </c>
      <c r="H11" s="195">
        <f t="shared" ca="1" si="10"/>
        <v>16</v>
      </c>
      <c r="I11" s="72" t="str">
        <f t="shared" ca="1" si="11"/>
        <v/>
      </c>
      <c r="J11" s="70"/>
      <c r="K11" s="70"/>
      <c r="L11" s="70"/>
      <c r="M11" s="70"/>
      <c r="N11" s="70"/>
      <c r="O11" s="70"/>
      <c r="P11" s="70"/>
      <c r="Q11" s="70"/>
      <c r="R11" s="70"/>
      <c r="S11" s="70"/>
      <c r="T11" s="78"/>
      <c r="U11" s="106" t="str">
        <f t="shared" ca="1" si="4"/>
        <v>B.1</v>
      </c>
      <c r="V11" s="106">
        <f t="shared" ca="1" si="5"/>
        <v>4</v>
      </c>
      <c r="W11" s="106">
        <f t="shared" ca="1" si="6"/>
        <v>1</v>
      </c>
      <c r="X11" s="106">
        <f t="shared" ca="1" si="7"/>
        <v>16</v>
      </c>
      <c r="Y11" s="77" t="str">
        <f t="shared" ca="1" si="8"/>
        <v>B.1</v>
      </c>
      <c r="AD11" s="86"/>
      <c r="AE11" s="86"/>
      <c r="AF11" s="86"/>
      <c r="AG11" s="79"/>
      <c r="AH11" s="86"/>
      <c r="AI11" s="79"/>
    </row>
    <row r="12" spans="1:35" s="77" customFormat="1" ht="60" x14ac:dyDescent="0.25">
      <c r="A12" s="68">
        <v>76</v>
      </c>
      <c r="B12" s="69" t="str">
        <f t="shared" ca="1" si="0"/>
        <v>B.1.04</v>
      </c>
      <c r="C12" s="70">
        <f t="shared" ca="1" si="1"/>
        <v>5</v>
      </c>
      <c r="D12" s="20"/>
      <c r="E12" s="91" t="str">
        <f t="shared" ca="1" si="2"/>
        <v>B.1.04</v>
      </c>
      <c r="F12" s="72" t="str">
        <f t="shared" ca="1" si="3"/>
        <v>Does your identification of testing types consider the use of an internal security test; end-to-end testing (i.e. for people, through data, devices, applications and infrastructure); emerging technologies (e.g. mobile applications); and social engineering?</v>
      </c>
      <c r="G12" s="195" t="str">
        <f t="shared" ca="1" si="9"/>
        <v/>
      </c>
      <c r="H12" s="195">
        <f t="shared" ca="1" si="10"/>
        <v>20</v>
      </c>
      <c r="I12" s="72" t="str">
        <f t="shared" ca="1" si="11"/>
        <v/>
      </c>
      <c r="J12" s="70"/>
      <c r="K12" s="70"/>
      <c r="L12" s="70"/>
      <c r="M12" s="70"/>
      <c r="N12" s="70"/>
      <c r="O12" s="70"/>
      <c r="P12" s="70"/>
      <c r="Q12" s="70"/>
      <c r="R12" s="70"/>
      <c r="S12" s="70"/>
      <c r="T12" s="78"/>
      <c r="U12" s="106" t="str">
        <f t="shared" ca="1" si="4"/>
        <v>B.1</v>
      </c>
      <c r="V12" s="106">
        <f t="shared" ca="1" si="5"/>
        <v>5</v>
      </c>
      <c r="W12" s="106">
        <f t="shared" ca="1" si="6"/>
        <v>1</v>
      </c>
      <c r="X12" s="106">
        <f t="shared" ca="1" si="7"/>
        <v>20</v>
      </c>
      <c r="Y12" s="77" t="str">
        <f t="shared" ca="1" si="8"/>
        <v>B.1</v>
      </c>
      <c r="AD12" s="86"/>
      <c r="AE12" s="86"/>
      <c r="AF12" s="86"/>
      <c r="AG12" s="79"/>
      <c r="AH12" s="86"/>
      <c r="AI12" s="79"/>
    </row>
    <row r="13" spans="1:35" s="77" customFormat="1" ht="45" x14ac:dyDescent="0.25">
      <c r="A13" s="68">
        <v>77</v>
      </c>
      <c r="B13" s="69" t="str">
        <f t="shared" ca="1" si="0"/>
        <v>B.1.05</v>
      </c>
      <c r="C13" s="70">
        <f t="shared" ca="1" si="1"/>
        <v>5</v>
      </c>
      <c r="D13" s="20"/>
      <c r="E13" s="91" t="str">
        <f t="shared" ca="1" si="2"/>
        <v>B.1.05</v>
      </c>
      <c r="F13" s="72" t="str">
        <f t="shared" ca="1" si="3"/>
        <v>Does your identification of testing types consider Web application testing, Infrastructure testing and Specialised penetration testing, such as for mobile, client server or cloud-based applications</v>
      </c>
      <c r="G13" s="195" t="str">
        <f t="shared" ca="1" si="9"/>
        <v/>
      </c>
      <c r="H13" s="195">
        <f t="shared" ca="1" si="10"/>
        <v>20</v>
      </c>
      <c r="I13" s="72" t="str">
        <f t="shared" ca="1" si="11"/>
        <v/>
      </c>
      <c r="J13" s="70"/>
      <c r="K13" s="70"/>
      <c r="L13" s="70"/>
      <c r="M13" s="70"/>
      <c r="N13" s="70"/>
      <c r="O13" s="70"/>
      <c r="P13" s="70"/>
      <c r="Q13" s="70"/>
      <c r="R13" s="70"/>
      <c r="S13" s="70"/>
      <c r="T13" s="78"/>
      <c r="U13" s="106" t="str">
        <f t="shared" ca="1" si="4"/>
        <v>B.1</v>
      </c>
      <c r="V13" s="106">
        <f t="shared" ca="1" si="5"/>
        <v>5</v>
      </c>
      <c r="W13" s="106">
        <f t="shared" ca="1" si="6"/>
        <v>1</v>
      </c>
      <c r="X13" s="106">
        <f t="shared" ca="1" si="7"/>
        <v>20</v>
      </c>
      <c r="Y13" s="77" t="str">
        <f t="shared" ca="1" si="8"/>
        <v>B.1</v>
      </c>
      <c r="AD13" s="86"/>
      <c r="AE13" s="86"/>
      <c r="AF13" s="86"/>
      <c r="AG13" s="79"/>
      <c r="AH13" s="86"/>
      <c r="AI13" s="79"/>
    </row>
    <row r="14" spans="1:35" s="77" customFormat="1" ht="30" customHeight="1" x14ac:dyDescent="0.25">
      <c r="A14" s="68">
        <v>78</v>
      </c>
      <c r="B14" s="69" t="str">
        <f t="shared" ca="1" si="0"/>
        <v>B.1.06</v>
      </c>
      <c r="C14" s="70">
        <f t="shared" ca="1" si="1"/>
        <v>5</v>
      </c>
      <c r="D14" s="20"/>
      <c r="E14" s="91" t="str">
        <f t="shared" ca="1" si="2"/>
        <v>B.1.06</v>
      </c>
      <c r="F14" s="72" t="str">
        <f t="shared" ca="1" si="3"/>
        <v>Is your test environment as similar to the live environment as possible?</v>
      </c>
      <c r="G14" s="195" t="str">
        <f t="shared" ca="1" si="9"/>
        <v/>
      </c>
      <c r="H14" s="195">
        <f t="shared" ca="1" si="10"/>
        <v>20</v>
      </c>
      <c r="I14" s="72" t="str">
        <f t="shared" ca="1" si="11"/>
        <v/>
      </c>
      <c r="J14" s="70"/>
      <c r="K14" s="70"/>
      <c r="L14" s="70"/>
      <c r="M14" s="70"/>
      <c r="N14" s="70"/>
      <c r="O14" s="70"/>
      <c r="P14" s="70"/>
      <c r="Q14" s="70"/>
      <c r="R14" s="70"/>
      <c r="S14" s="70"/>
      <c r="T14" s="78"/>
      <c r="U14" s="106" t="str">
        <f t="shared" ca="1" si="4"/>
        <v>B.1</v>
      </c>
      <c r="V14" s="106">
        <f t="shared" ca="1" si="5"/>
        <v>5</v>
      </c>
      <c r="W14" s="106">
        <f t="shared" ca="1" si="6"/>
        <v>1</v>
      </c>
      <c r="X14" s="106">
        <f t="shared" ca="1" si="7"/>
        <v>20</v>
      </c>
      <c r="Y14" s="77" t="str">
        <f t="shared" ca="1" si="8"/>
        <v>B.1</v>
      </c>
      <c r="AD14" s="86"/>
      <c r="AE14" s="86"/>
      <c r="AF14" s="86"/>
      <c r="AG14" s="79"/>
      <c r="AH14" s="86"/>
      <c r="AI14" s="79"/>
    </row>
    <row r="15" spans="1:35" s="76" customFormat="1" ht="30" customHeight="1" x14ac:dyDescent="0.25">
      <c r="A15" s="73">
        <v>79</v>
      </c>
      <c r="B15" s="74" t="str">
        <f t="shared" ca="1" si="0"/>
        <v>B.2</v>
      </c>
      <c r="C15" s="20">
        <f t="shared" ca="1" si="1"/>
        <v>2</v>
      </c>
      <c r="D15" s="92"/>
      <c r="E15" s="67" t="str">
        <f t="shared" ca="1" si="2"/>
        <v>Step 2</v>
      </c>
      <c r="F15" s="112" t="str">
        <f t="shared" ca="1" si="3"/>
        <v>Identify testing constraints</v>
      </c>
      <c r="G15" s="113" t="str">
        <f ca="1">"Maturity level:  "&amp;O15</f>
        <v>Maturity level:  Level 1</v>
      </c>
      <c r="H15" s="114"/>
      <c r="I15" s="118"/>
      <c r="J15" s="114"/>
      <c r="K15" s="114"/>
      <c r="L15" s="114" t="str">
        <f ca="1">TEXT(B15,"0.0")</f>
        <v>B.2</v>
      </c>
      <c r="M15" s="113">
        <f ca="1">SUMIF(Y:Y,L15,G:G)/(SUMIF(Y:Y,L15,X:X))</f>
        <v>0</v>
      </c>
      <c r="N15" s="113" t="str">
        <f ca="1">HLOOKUP(M15*100,level_ref,2,TRUE)</f>
        <v>Level 1</v>
      </c>
      <c r="O15" s="113" t="str">
        <f ca="1">IF(ISERROR(N15),"",N15)</f>
        <v>Level 1</v>
      </c>
      <c r="P15" s="113">
        <f ca="1">HLOOKUP(M15*100,level_ref,3,TRUE)</f>
        <v>1</v>
      </c>
      <c r="Q15" s="113">
        <f ca="1">IF(ISERROR(P15),"",P15)</f>
        <v>1</v>
      </c>
      <c r="R15" s="113">
        <f ca="1">M15*5</f>
        <v>0</v>
      </c>
      <c r="S15" s="113"/>
      <c r="T15" s="113"/>
      <c r="U15" s="113" t="str">
        <f t="shared" ca="1" si="4"/>
        <v/>
      </c>
      <c r="V15" s="113">
        <f t="shared" ca="1" si="5"/>
        <v>0</v>
      </c>
      <c r="W15" s="113">
        <f t="shared" ca="1" si="6"/>
        <v>1</v>
      </c>
      <c r="X15" s="113">
        <f t="shared" ca="1" si="7"/>
        <v>0</v>
      </c>
      <c r="Y15" s="76" t="str">
        <f t="shared" ca="1" si="8"/>
        <v/>
      </c>
      <c r="AD15" s="86"/>
      <c r="AE15" s="86"/>
      <c r="AF15" s="86"/>
      <c r="AG15" s="79"/>
      <c r="AH15" s="86"/>
      <c r="AI15" s="79"/>
    </row>
    <row r="16" spans="1:35" s="77" customFormat="1" ht="30" customHeight="1" x14ac:dyDescent="0.25">
      <c r="A16" s="68">
        <v>80</v>
      </c>
      <c r="B16" s="69" t="str">
        <f t="shared" ca="1" si="0"/>
        <v>B.2.01</v>
      </c>
      <c r="C16" s="70">
        <f t="shared" ca="1" si="1"/>
        <v>5</v>
      </c>
      <c r="D16" s="20"/>
      <c r="E16" s="91" t="str">
        <f t="shared" ca="1" si="2"/>
        <v>B.2.01</v>
      </c>
      <c r="F16" s="72" t="str">
        <f t="shared" ca="1" si="3"/>
        <v>Do you identify any testing constraints associated with the planned penetration testing?</v>
      </c>
      <c r="G16" s="195" t="str">
        <f ca="1">VLOOKUP($A16,Assess_B_Reference,15,FALSE)</f>
        <v/>
      </c>
      <c r="H16" s="195">
        <f ca="1">(VLOOKUP(LEFT($B16,3),Targets_Lookup,5,FALSE))*VLOOKUP($A16,Weightings_Assessments,23,FALSE)</f>
        <v>4</v>
      </c>
      <c r="I16" s="72" t="str">
        <f ca="1">IF(VLOOKUP(A16,Assess_B_Reference,16,FALSE)=0,"",VLOOKUP(A16,Assess_B_Reference,16,FALSE))</f>
        <v/>
      </c>
      <c r="J16" s="70"/>
      <c r="K16" s="70"/>
      <c r="L16" s="70"/>
      <c r="M16" s="70"/>
      <c r="N16" s="70"/>
      <c r="O16" s="70"/>
      <c r="P16" s="70"/>
      <c r="Q16" s="70"/>
      <c r="R16" s="70"/>
      <c r="S16" s="70"/>
      <c r="T16" s="78"/>
      <c r="U16" s="106" t="str">
        <f t="shared" ca="1" si="4"/>
        <v>B.2</v>
      </c>
      <c r="V16" s="106">
        <f t="shared" ca="1" si="5"/>
        <v>1</v>
      </c>
      <c r="W16" s="106">
        <f t="shared" ca="1" si="6"/>
        <v>1</v>
      </c>
      <c r="X16" s="106">
        <f t="shared" ca="1" si="7"/>
        <v>4</v>
      </c>
      <c r="Y16" s="77" t="str">
        <f t="shared" ca="1" si="8"/>
        <v>B.2</v>
      </c>
      <c r="AD16" s="86"/>
      <c r="AE16" s="86"/>
      <c r="AF16" s="86"/>
      <c r="AG16" s="79"/>
      <c r="AH16" s="86"/>
      <c r="AI16" s="79"/>
    </row>
    <row r="17" spans="1:35" s="77" customFormat="1" ht="75" x14ac:dyDescent="0.25">
      <c r="A17" s="68">
        <v>81</v>
      </c>
      <c r="B17" s="69" t="str">
        <f t="shared" ca="1" si="0"/>
        <v>B.2.02</v>
      </c>
      <c r="C17" s="70">
        <f t="shared" ca="1" si="1"/>
        <v>5</v>
      </c>
      <c r="D17" s="20"/>
      <c r="E17" s="91" t="str">
        <f t="shared" ca="1" si="2"/>
        <v>B.2.02</v>
      </c>
      <c r="F17" s="72" t="str">
        <f t="shared" ca="1" si="3"/>
        <v>When identifying testing constraints, do you allow for aspects of the business that cannot be tested due to operational limitations, considering that attackers often do whatever it takes to penetrate an organisation or system (If they are not able to penetrate a particular system, they may simply try another route.)?</v>
      </c>
      <c r="G17" s="195" t="str">
        <f ca="1">VLOOKUP($A17,Assess_B_Reference,15,FALSE)</f>
        <v/>
      </c>
      <c r="H17" s="195">
        <f ca="1">(VLOOKUP(LEFT($B17,3),Targets_Lookup,5,FALSE))*VLOOKUP($A17,Weightings_Assessments,23,FALSE)</f>
        <v>20</v>
      </c>
      <c r="I17" s="72" t="str">
        <f ca="1">IF(VLOOKUP(A17,Assess_B_Reference,16,FALSE)=0,"",VLOOKUP(A17,Assess_B_Reference,16,FALSE))</f>
        <v/>
      </c>
      <c r="J17" s="70"/>
      <c r="K17" s="70"/>
      <c r="L17" s="70"/>
      <c r="M17" s="70"/>
      <c r="N17" s="70"/>
      <c r="O17" s="70"/>
      <c r="P17" s="70"/>
      <c r="Q17" s="70"/>
      <c r="R17" s="70"/>
      <c r="S17" s="70"/>
      <c r="T17" s="78"/>
      <c r="U17" s="106" t="str">
        <f t="shared" ca="1" si="4"/>
        <v>B.2</v>
      </c>
      <c r="V17" s="106">
        <f t="shared" ca="1" si="5"/>
        <v>5</v>
      </c>
      <c r="W17" s="106">
        <f t="shared" ca="1" si="6"/>
        <v>1</v>
      </c>
      <c r="X17" s="106">
        <f t="shared" ca="1" si="7"/>
        <v>20</v>
      </c>
      <c r="Y17" s="77" t="str">
        <f t="shared" ca="1" si="8"/>
        <v>B.2</v>
      </c>
      <c r="AD17" s="86"/>
      <c r="AE17" s="86"/>
      <c r="AF17" s="86"/>
      <c r="AG17" s="79"/>
      <c r="AH17" s="86"/>
      <c r="AI17" s="79"/>
    </row>
    <row r="18" spans="1:35" s="77" customFormat="1" ht="45" x14ac:dyDescent="0.25">
      <c r="A18" s="68">
        <v>82</v>
      </c>
      <c r="B18" s="69" t="str">
        <f t="shared" ca="1" si="0"/>
        <v/>
      </c>
      <c r="C18" s="70">
        <f t="shared" ca="1" si="1"/>
        <v>3</v>
      </c>
      <c r="D18" s="20"/>
      <c r="E18" s="91" t="str">
        <f t="shared" ca="1" si="2"/>
        <v/>
      </c>
      <c r="F18" s="166" t="str">
        <f t="shared" ca="1" si="3"/>
        <v>Methods of dealing with operational testing constraints can include simulating live tests as closely as possible and conducting tests outside of normal hours (and locations).</v>
      </c>
      <c r="G18" s="85"/>
      <c r="H18" s="85"/>
      <c r="I18" s="72"/>
      <c r="J18" s="70"/>
      <c r="K18" s="70"/>
      <c r="L18" s="70"/>
      <c r="M18" s="70"/>
      <c r="N18" s="70"/>
      <c r="O18" s="70"/>
      <c r="P18" s="70"/>
      <c r="Q18" s="70"/>
      <c r="R18" s="70"/>
      <c r="S18" s="70"/>
      <c r="T18" s="78"/>
      <c r="U18" s="78"/>
      <c r="V18" s="78"/>
      <c r="W18" s="78"/>
      <c r="X18" s="78"/>
      <c r="AD18" s="86"/>
      <c r="AE18" s="86"/>
      <c r="AF18" s="86"/>
      <c r="AG18" s="79"/>
      <c r="AH18" s="86"/>
      <c r="AI18" s="79"/>
    </row>
    <row r="19" spans="1:35" s="77" customFormat="1" ht="45" x14ac:dyDescent="0.25">
      <c r="A19" s="68">
        <v>83</v>
      </c>
      <c r="B19" s="69" t="str">
        <f t="shared" ca="1" si="0"/>
        <v>B.2.03</v>
      </c>
      <c r="C19" s="70">
        <f t="shared" ca="1" si="1"/>
        <v>5</v>
      </c>
      <c r="D19" s="20"/>
      <c r="E19" s="91" t="str">
        <f t="shared" ca="1" si="2"/>
        <v>B.2.03</v>
      </c>
      <c r="F19" s="72" t="str">
        <f t="shared" ca="1" si="3"/>
        <v>When identifying testing constraints, do you allow for testing having to be conducted within the confines of the law (considering that attackers often do whatever it takes to penetrate an organisation or system)?</v>
      </c>
      <c r="G19" s="195" t="str">
        <f ca="1">VLOOKUP($A19,Assess_B_Reference,15,FALSE)</f>
        <v/>
      </c>
      <c r="H19" s="195">
        <f ca="1">(VLOOKUP(LEFT($B19,3),Targets_Lookup,5,FALSE))*VLOOKUP($A19,Weightings_Assessments,23,FALSE)</f>
        <v>16</v>
      </c>
      <c r="I19" s="72" t="str">
        <f ca="1">IF(VLOOKUP(A19,Assess_B_Reference,16,FALSE)=0,"",VLOOKUP(A19,Assess_B_Reference,16,FALSE))</f>
        <v/>
      </c>
      <c r="J19" s="70"/>
      <c r="K19" s="70"/>
      <c r="L19" s="70"/>
      <c r="M19" s="70"/>
      <c r="N19" s="70"/>
      <c r="O19" s="70"/>
      <c r="P19" s="70"/>
      <c r="Q19" s="70"/>
      <c r="R19" s="70"/>
      <c r="S19" s="70"/>
      <c r="T19" s="78"/>
      <c r="U19" s="106" t="str">
        <f ca="1">IF(AND(C19&gt;4,VLOOKUP(A19,Assess_B_Reference,34,FALSE)&lt;&gt;8),LEFT(B19,3),"")</f>
        <v>B.2</v>
      </c>
      <c r="V19" s="106">
        <f ca="1">VLOOKUP(A19,Weightings_Assessments,24,FALSE)</f>
        <v>4</v>
      </c>
      <c r="W19" s="106">
        <f ca="1">IF(VLOOKUP(A19,Assess_B_Reference,34,FALSE)=8,0,1)</f>
        <v>1</v>
      </c>
      <c r="X19" s="106">
        <f ca="1">W19*V19*4</f>
        <v>16</v>
      </c>
      <c r="Y19" s="77" t="str">
        <f ca="1">AG19&amp;U19</f>
        <v>B.2</v>
      </c>
      <c r="AD19" s="86"/>
      <c r="AE19" s="86"/>
      <c r="AF19" s="86"/>
      <c r="AG19" s="79"/>
      <c r="AH19" s="86"/>
      <c r="AI19" s="79"/>
    </row>
    <row r="20" spans="1:35" s="77" customFormat="1" ht="45" x14ac:dyDescent="0.25">
      <c r="A20" s="68">
        <v>84</v>
      </c>
      <c r="B20" s="69" t="str">
        <f t="shared" ca="1" si="0"/>
        <v/>
      </c>
      <c r="C20" s="70">
        <f t="shared" ca="1" si="1"/>
        <v>3</v>
      </c>
      <c r="D20" s="20"/>
      <c r="E20" s="91" t="str">
        <f t="shared" ca="1" si="2"/>
        <v/>
      </c>
      <c r="F20" s="166" t="str">
        <f t="shared" ca="1" si="3"/>
        <v>Methods of dealing with legal testing constraints can include tailoring the way tests are structured and run to simulate most forms of attack) and taking back-ups of critical systems and files before testing.</v>
      </c>
      <c r="G20" s="85"/>
      <c r="H20" s="85"/>
      <c r="I20" s="72"/>
      <c r="J20" s="70"/>
      <c r="K20" s="70"/>
      <c r="L20" s="70"/>
      <c r="M20" s="70"/>
      <c r="N20" s="70"/>
      <c r="O20" s="70"/>
      <c r="P20" s="70"/>
      <c r="Q20" s="70"/>
      <c r="R20" s="70"/>
      <c r="S20" s="70"/>
      <c r="T20" s="78"/>
      <c r="U20" s="78"/>
      <c r="V20" s="78"/>
      <c r="W20" s="78"/>
      <c r="X20" s="78"/>
      <c r="AD20" s="86"/>
      <c r="AE20" s="86"/>
      <c r="AF20" s="86"/>
      <c r="AG20" s="79"/>
      <c r="AH20" s="86"/>
      <c r="AI20" s="79"/>
    </row>
    <row r="21" spans="1:35" s="77" customFormat="1" ht="105" x14ac:dyDescent="0.25">
      <c r="A21" s="68">
        <v>85</v>
      </c>
      <c r="B21" s="69" t="str">
        <f t="shared" ca="1" si="0"/>
        <v>B.2.04</v>
      </c>
      <c r="C21" s="70">
        <f t="shared" ca="1" si="1"/>
        <v>5</v>
      </c>
      <c r="D21" s="20"/>
      <c r="E21" s="91" t="str">
        <f t="shared" ca="1" si="2"/>
        <v>B.2.04</v>
      </c>
      <c r="F21" s="72" t="str">
        <f t="shared" ca="1" si="3"/>
        <v>When identifying testing constraints, do you allow for testers being limited to the scope of the testing and a finite time to conduct tests, considering that attackers will utilise the weakest point of security in any part of connected systems or networks to mount an attack, regardless of ownership, location or jurisdiction – and will often have unlimited time to mount a concerted attack against a system if they have the motivation, capability and resources to do so?</v>
      </c>
      <c r="G21" s="195" t="str">
        <f ca="1">VLOOKUP($A21,Assess_B_Reference,15,FALSE)</f>
        <v/>
      </c>
      <c r="H21" s="195">
        <f ca="1">(VLOOKUP(LEFT($B21,3),Targets_Lookup,5,FALSE))*VLOOKUP($A21,Weightings_Assessments,23,FALSE)</f>
        <v>16</v>
      </c>
      <c r="I21" s="72" t="str">
        <f ca="1">IF(VLOOKUP(A21,Assess_B_Reference,16,FALSE)=0,"",VLOOKUP(A21,Assess_B_Reference,16,FALSE))</f>
        <v/>
      </c>
      <c r="J21" s="70"/>
      <c r="K21" s="70"/>
      <c r="L21" s="70"/>
      <c r="M21" s="70"/>
      <c r="N21" s="70"/>
      <c r="O21" s="70"/>
      <c r="P21" s="70"/>
      <c r="Q21" s="70"/>
      <c r="R21" s="70"/>
      <c r="S21" s="70"/>
      <c r="T21" s="78"/>
      <c r="U21" s="106" t="str">
        <f ca="1">IF(AND(C21&gt;4,VLOOKUP(A21,Assess_B_Reference,34,FALSE)&lt;&gt;8),LEFT(B21,3),"")</f>
        <v>B.2</v>
      </c>
      <c r="V21" s="106">
        <f ca="1">VLOOKUP(A21,Weightings_Assessments,24,FALSE)</f>
        <v>4</v>
      </c>
      <c r="W21" s="106">
        <f ca="1">IF(VLOOKUP(A21,Assess_B_Reference,34,FALSE)=8,0,1)</f>
        <v>1</v>
      </c>
      <c r="X21" s="106">
        <f ca="1">W21*V21*4</f>
        <v>16</v>
      </c>
      <c r="Y21" s="77" t="str">
        <f ca="1">AG21&amp;U21</f>
        <v>B.2</v>
      </c>
      <c r="AD21" s="86"/>
      <c r="AE21" s="86"/>
      <c r="AF21" s="86"/>
      <c r="AG21" s="79"/>
      <c r="AH21" s="86"/>
      <c r="AI21" s="79"/>
    </row>
    <row r="22" spans="1:35" s="77" customFormat="1" ht="60" x14ac:dyDescent="0.25">
      <c r="A22" s="68">
        <v>86</v>
      </c>
      <c r="B22" s="69" t="str">
        <f t="shared" ca="1" si="0"/>
        <v/>
      </c>
      <c r="C22" s="70">
        <f t="shared" ca="1" si="1"/>
        <v>3</v>
      </c>
      <c r="D22" s="20"/>
      <c r="E22" s="91" t="str">
        <f t="shared" ca="1" si="2"/>
        <v/>
      </c>
      <c r="F22" s="166" t="str">
        <f t="shared" ca="1" si="3"/>
        <v>Methods of dealing with scope-related testing constraints can include placing perimeter controls within the scope of the test and applying more rigorous testing to applications that are accessible from outside traditional organisational boundaries.</v>
      </c>
      <c r="G22" s="85"/>
      <c r="H22" s="85"/>
      <c r="I22" s="72"/>
      <c r="J22" s="70"/>
      <c r="K22" s="70"/>
      <c r="L22" s="70"/>
      <c r="M22" s="70"/>
      <c r="N22" s="70"/>
      <c r="O22" s="70"/>
      <c r="P22" s="70"/>
      <c r="Q22" s="70"/>
      <c r="R22" s="70"/>
      <c r="S22" s="70"/>
      <c r="T22" s="78"/>
      <c r="U22" s="78"/>
      <c r="V22" s="78"/>
      <c r="W22" s="78"/>
      <c r="X22" s="78"/>
      <c r="AD22" s="86"/>
      <c r="AE22" s="86"/>
      <c r="AF22" s="86"/>
      <c r="AG22" s="79"/>
      <c r="AH22" s="86"/>
      <c r="AI22" s="79"/>
    </row>
    <row r="23" spans="1:35" s="77" customFormat="1" ht="60" x14ac:dyDescent="0.25">
      <c r="A23" s="68">
        <v>87</v>
      </c>
      <c r="B23" s="69" t="str">
        <f t="shared" ca="1" si="0"/>
        <v>B.2.05</v>
      </c>
      <c r="C23" s="70">
        <f t="shared" ca="1" si="1"/>
        <v>5</v>
      </c>
      <c r="D23" s="20"/>
      <c r="E23" s="91" t="str">
        <f t="shared" ca="1" si="2"/>
        <v>B.2.05</v>
      </c>
      <c r="F23" s="72" t="str">
        <f t="shared" ca="1" si="3"/>
        <v>When identifying testing constraints, do you allow for testers having limited time to conduct tests, considering that attackers have unlimited time to mount a concerted attack against a system if they have the motivation, capability and resources to do so?</v>
      </c>
      <c r="G23" s="195" t="str">
        <f ca="1">VLOOKUP($A23,Assess_B_Reference,15,FALSE)</f>
        <v/>
      </c>
      <c r="H23" s="195">
        <f ca="1">(VLOOKUP(LEFT($B23,3),Targets_Lookup,5,FALSE))*VLOOKUP($A23,Weightings_Assessments,23,FALSE)</f>
        <v>16</v>
      </c>
      <c r="I23" s="72" t="str">
        <f ca="1">IF(VLOOKUP(A23,Assess_B_Reference,16,FALSE)=0,"",VLOOKUP(A23,Assess_B_Reference,16,FALSE))</f>
        <v/>
      </c>
      <c r="J23" s="70"/>
      <c r="K23" s="70"/>
      <c r="L23" s="70"/>
      <c r="M23" s="70"/>
      <c r="N23" s="70"/>
      <c r="O23" s="70"/>
      <c r="P23" s="70"/>
      <c r="Q23" s="70"/>
      <c r="R23" s="70"/>
      <c r="S23" s="70"/>
      <c r="T23" s="78"/>
      <c r="U23" s="106" t="str">
        <f ca="1">IF(AND(C23&gt;4,VLOOKUP(A23,Assess_B_Reference,34,FALSE)&lt;&gt;8),LEFT(B23,3),"")</f>
        <v>B.2</v>
      </c>
      <c r="V23" s="106">
        <f ca="1">VLOOKUP(A23,Weightings_Assessments,24,FALSE)</f>
        <v>4</v>
      </c>
      <c r="W23" s="106">
        <f ca="1">IF(VLOOKUP(A23,Assess_B_Reference,34,FALSE)=8,0,1)</f>
        <v>1</v>
      </c>
      <c r="X23" s="106">
        <f ca="1">W23*V23*4</f>
        <v>16</v>
      </c>
      <c r="Y23" s="77" t="str">
        <f ca="1">AG23&amp;U23</f>
        <v>B.2</v>
      </c>
      <c r="AD23" s="86"/>
      <c r="AE23" s="86"/>
      <c r="AF23" s="86"/>
      <c r="AG23" s="79"/>
      <c r="AH23" s="86"/>
      <c r="AI23" s="79"/>
    </row>
    <row r="24" spans="1:35" s="77" customFormat="1" ht="60" x14ac:dyDescent="0.25">
      <c r="A24" s="68">
        <v>88</v>
      </c>
      <c r="B24" s="69" t="str">
        <f t="shared" ca="1" si="0"/>
        <v/>
      </c>
      <c r="C24" s="70">
        <f t="shared" ca="1" si="1"/>
        <v>3</v>
      </c>
      <c r="D24" s="20"/>
      <c r="E24" s="91" t="str">
        <f t="shared" ca="1" si="2"/>
        <v/>
      </c>
      <c r="F24" s="166" t="str">
        <f t="shared" ca="1" si="3"/>
        <v>Methods of dealing with time constraints can include Investing more time in testing critical systems; providing testers with as much background information as possible; and conducting penetration testing on a regular basis, rather than as a one-off exercise.</v>
      </c>
      <c r="G24" s="85"/>
      <c r="H24" s="85"/>
      <c r="I24" s="72"/>
      <c r="J24" s="70"/>
      <c r="K24" s="70"/>
      <c r="L24" s="70"/>
      <c r="M24" s="70"/>
      <c r="N24" s="70"/>
      <c r="O24" s="70"/>
      <c r="P24" s="70"/>
      <c r="Q24" s="70"/>
      <c r="R24" s="70"/>
      <c r="S24" s="70"/>
      <c r="T24" s="78"/>
      <c r="U24" s="78"/>
      <c r="V24" s="78"/>
      <c r="W24" s="78"/>
      <c r="X24" s="78"/>
      <c r="AD24" s="86"/>
      <c r="AE24" s="86"/>
      <c r="AF24" s="86"/>
      <c r="AG24" s="79"/>
      <c r="AH24" s="86"/>
      <c r="AI24" s="79"/>
    </row>
    <row r="25" spans="1:35" s="77" customFormat="1" ht="75" x14ac:dyDescent="0.25">
      <c r="A25" s="68">
        <v>89</v>
      </c>
      <c r="B25" s="69" t="str">
        <f t="shared" ca="1" si="0"/>
        <v>B.2.06</v>
      </c>
      <c r="C25" s="70">
        <f t="shared" ca="1" si="1"/>
        <v>5</v>
      </c>
      <c r="D25" s="20"/>
      <c r="E25" s="91" t="str">
        <f t="shared" ca="1" si="2"/>
        <v>B.2.06</v>
      </c>
      <c r="F25" s="72" t="str">
        <f t="shared" ca="1" si="3"/>
        <v>When identifying testing constraints, do you allow for the likelihood that most penetration testing will not find all vulnerabilities of a given environment (the law of diminishing returns often applies in that the most obvious vulnerabilities will be discovered first, with further time yielding more and more obscure issues)?</v>
      </c>
      <c r="G25" s="195" t="str">
        <f ca="1">VLOOKUP($A25,Assess_B_Reference,15,FALSE)</f>
        <v/>
      </c>
      <c r="H25" s="195">
        <f ca="1">(VLOOKUP(LEFT($B25,3),Targets_Lookup,5,FALSE))*VLOOKUP($A25,Weightings_Assessments,23,FALSE)</f>
        <v>16</v>
      </c>
      <c r="I25" s="72" t="str">
        <f ca="1">IF(VLOOKUP(A25,Assess_B_Reference,16,FALSE)=0,"",VLOOKUP(A25,Assess_B_Reference,16,FALSE))</f>
        <v/>
      </c>
      <c r="J25" s="70"/>
      <c r="K25" s="70"/>
      <c r="L25" s="70"/>
      <c r="M25" s="70"/>
      <c r="N25" s="70"/>
      <c r="O25" s="70"/>
      <c r="P25" s="70"/>
      <c r="Q25" s="70"/>
      <c r="R25" s="70"/>
      <c r="S25" s="70"/>
      <c r="T25" s="78"/>
      <c r="U25" s="106" t="str">
        <f ca="1">IF(AND(C25&gt;4,VLOOKUP(A25,Assess_B_Reference,34,FALSE)&lt;&gt;8),LEFT(B25,3),"")</f>
        <v>B.2</v>
      </c>
      <c r="V25" s="106">
        <f ca="1">VLOOKUP(A25,Weightings_Assessments,24,FALSE)</f>
        <v>4</v>
      </c>
      <c r="W25" s="106">
        <f ca="1">IF(VLOOKUP(A25,Assess_B_Reference,34,FALSE)=8,0,1)</f>
        <v>1</v>
      </c>
      <c r="X25" s="106">
        <f ca="1">W25*V25*4</f>
        <v>16</v>
      </c>
      <c r="Y25" s="77" t="str">
        <f ca="1">AG25&amp;U25</f>
        <v>B.2</v>
      </c>
      <c r="AD25" s="86"/>
      <c r="AE25" s="86"/>
      <c r="AF25" s="86"/>
      <c r="AG25" s="79"/>
      <c r="AH25" s="86"/>
      <c r="AI25" s="79"/>
    </row>
    <row r="26" spans="1:35" s="77" customFormat="1" ht="75" x14ac:dyDescent="0.25">
      <c r="A26" s="68">
        <v>90</v>
      </c>
      <c r="B26" s="69" t="str">
        <f t="shared" ca="1" si="0"/>
        <v/>
      </c>
      <c r="C26" s="70">
        <f t="shared" ca="1" si="1"/>
        <v>3</v>
      </c>
      <c r="D26" s="20"/>
      <c r="E26" s="91" t="str">
        <f t="shared" ca="1" si="2"/>
        <v/>
      </c>
      <c r="F26" s="166" t="str">
        <f t="shared" ca="1" si="3"/>
        <v>Methods of dealing with this type of testing constraint can include adopting a ‘risk to cost balance’ when performing tests and doing more than simply fixing vulnerabilities uncovered during testing as this could leave a number of other vulnerabilities present for an attacker to find.</v>
      </c>
      <c r="G26" s="85"/>
      <c r="H26" s="85"/>
      <c r="I26" s="72"/>
      <c r="J26" s="70"/>
      <c r="K26" s="70"/>
      <c r="L26" s="70"/>
      <c r="M26" s="70"/>
      <c r="N26" s="70"/>
      <c r="O26" s="70"/>
      <c r="P26" s="70"/>
      <c r="Q26" s="70"/>
      <c r="R26" s="70"/>
      <c r="S26" s="70"/>
      <c r="T26" s="78"/>
      <c r="U26" s="78"/>
      <c r="V26" s="78"/>
      <c r="W26" s="78"/>
      <c r="X26" s="78"/>
      <c r="AD26" s="86"/>
      <c r="AE26" s="86"/>
      <c r="AF26" s="86"/>
      <c r="AG26" s="79"/>
      <c r="AH26" s="86"/>
      <c r="AI26" s="79"/>
    </row>
    <row r="27" spans="1:35" s="77" customFormat="1" ht="30" customHeight="1" x14ac:dyDescent="0.25">
      <c r="A27" s="68">
        <v>91</v>
      </c>
      <c r="B27" s="69" t="str">
        <f t="shared" ca="1" si="0"/>
        <v>B.2.07</v>
      </c>
      <c r="C27" s="70">
        <f t="shared" ca="1" si="1"/>
        <v>5</v>
      </c>
      <c r="D27" s="20"/>
      <c r="E27" s="91" t="str">
        <f t="shared" ca="1" si="2"/>
        <v>B.2.07</v>
      </c>
      <c r="F27" s="72" t="str">
        <f t="shared" ca="1" si="3"/>
        <v>Have you identified technical issues that can affect the scope of the test or the security countermeasures in place to detect and deter attacks?</v>
      </c>
      <c r="G27" s="195" t="str">
        <f ca="1">VLOOKUP($A27,Assess_B_Reference,15,FALSE)</f>
        <v/>
      </c>
      <c r="H27" s="195">
        <f ca="1">(VLOOKUP(LEFT($B27,3),Targets_Lookup,5,FALSE))*VLOOKUP($A27,Weightings_Assessments,23,FALSE)</f>
        <v>16</v>
      </c>
      <c r="I27" s="72" t="str">
        <f ca="1">IF(VLOOKUP(A27,Assess_B_Reference,16,FALSE)=0,"",VLOOKUP(A27,Assess_B_Reference,16,FALSE))</f>
        <v/>
      </c>
      <c r="J27" s="70"/>
      <c r="K27" s="70"/>
      <c r="L27" s="70"/>
      <c r="M27" s="70"/>
      <c r="N27" s="70"/>
      <c r="O27" s="70"/>
      <c r="P27" s="70"/>
      <c r="Q27" s="70"/>
      <c r="R27" s="70"/>
      <c r="S27" s="70"/>
      <c r="T27" s="78"/>
      <c r="U27" s="106" t="str">
        <f ca="1">IF(AND(C27&gt;4,VLOOKUP(A27,Assess_B_Reference,34,FALSE)&lt;&gt;8),LEFT(B27,3),"")</f>
        <v>B.2</v>
      </c>
      <c r="V27" s="106">
        <f ca="1">VLOOKUP(A27,Weightings_Assessments,24,FALSE)</f>
        <v>4</v>
      </c>
      <c r="W27" s="106">
        <f ca="1">IF(VLOOKUP(A27,Assess_B_Reference,34,FALSE)=8,0,1)</f>
        <v>1</v>
      </c>
      <c r="X27" s="106">
        <f ca="1">W27*V27*4</f>
        <v>16</v>
      </c>
      <c r="Y27" s="77" t="str">
        <f ca="1">AG27&amp;U27</f>
        <v>B.2</v>
      </c>
      <c r="AD27" s="86"/>
      <c r="AE27" s="86"/>
      <c r="AF27" s="86"/>
      <c r="AG27" s="79"/>
      <c r="AH27" s="86"/>
      <c r="AI27" s="79"/>
    </row>
    <row r="28" spans="1:35" s="77" customFormat="1" ht="90" x14ac:dyDescent="0.25">
      <c r="A28" s="68">
        <v>92</v>
      </c>
      <c r="B28" s="69" t="str">
        <f t="shared" ca="1" si="0"/>
        <v/>
      </c>
      <c r="C28" s="70">
        <f t="shared" ca="1" si="1"/>
        <v>3</v>
      </c>
      <c r="D28" s="20"/>
      <c r="E28" s="91" t="str">
        <f t="shared" ca="1" si="2"/>
        <v/>
      </c>
      <c r="F28" s="166" t="str">
        <f t="shared" ca="1" si="3"/>
        <v>Methods of dealing with technical testing constraints can include Implementing policy exceptions; allowing for vulnerabilities that will not be discovered if the testing is undertaken from outside your network; adopting a practical scope that will meet your requirements; and ensuring that the test simulation comes very close to replicating a real malicious attack.</v>
      </c>
      <c r="G28" s="85"/>
      <c r="H28" s="85"/>
      <c r="I28" s="72"/>
      <c r="J28" s="70"/>
      <c r="K28" s="70"/>
      <c r="L28" s="70"/>
      <c r="M28" s="70"/>
      <c r="N28" s="70"/>
      <c r="O28" s="70"/>
      <c r="P28" s="70"/>
      <c r="Q28" s="70"/>
      <c r="R28" s="70"/>
      <c r="S28" s="70"/>
      <c r="T28" s="78"/>
      <c r="U28" s="78"/>
      <c r="V28" s="78"/>
      <c r="W28" s="78"/>
      <c r="X28" s="78"/>
      <c r="AD28" s="86"/>
      <c r="AE28" s="86"/>
      <c r="AF28" s="86"/>
      <c r="AG28" s="79"/>
      <c r="AH28" s="86"/>
      <c r="AI28" s="79"/>
    </row>
    <row r="29" spans="1:35" s="77" customFormat="1" ht="30" customHeight="1" x14ac:dyDescent="0.25">
      <c r="A29" s="68">
        <v>93</v>
      </c>
      <c r="B29" s="69" t="str">
        <f t="shared" ca="1" si="0"/>
        <v>B.2.08</v>
      </c>
      <c r="C29" s="70">
        <f t="shared" ca="1" si="1"/>
        <v>5</v>
      </c>
      <c r="D29" s="20"/>
      <c r="E29" s="91" t="str">
        <f t="shared" ca="1" si="2"/>
        <v>B.2.08</v>
      </c>
      <c r="F29" s="72" t="str">
        <f t="shared" ca="1" si="3"/>
        <v>Have you determined how you will make sure that all parties adhere to testing constraints?</v>
      </c>
      <c r="G29" s="195" t="str">
        <f ca="1">VLOOKUP($A29,Assess_B_Reference,15,FALSE)</f>
        <v/>
      </c>
      <c r="H29" s="195">
        <f ca="1">(VLOOKUP(LEFT($B29,3),Targets_Lookup,5,FALSE))*VLOOKUP($A29,Weightings_Assessments,23,FALSE)</f>
        <v>20</v>
      </c>
      <c r="I29" s="72" t="str">
        <f ca="1">IF(VLOOKUP(A29,Assess_B_Reference,16,FALSE)=0,"",VLOOKUP(A29,Assess_B_Reference,16,FALSE))</f>
        <v/>
      </c>
      <c r="J29" s="70"/>
      <c r="K29" s="70"/>
      <c r="L29" s="70"/>
      <c r="M29" s="70"/>
      <c r="N29" s="70"/>
      <c r="O29" s="70"/>
      <c r="P29" s="70"/>
      <c r="Q29" s="70"/>
      <c r="R29" s="70"/>
      <c r="S29" s="70"/>
      <c r="T29" s="78"/>
      <c r="U29" s="106" t="str">
        <f ca="1">IF(AND(C29&gt;4,VLOOKUP(A29,Assess_B_Reference,34,FALSE)&lt;&gt;8),LEFT(B29,3),"")</f>
        <v>B.2</v>
      </c>
      <c r="V29" s="106">
        <f ca="1">VLOOKUP(A29,Weightings_Assessments,24,FALSE)</f>
        <v>5</v>
      </c>
      <c r="W29" s="106">
        <f ca="1">IF(VLOOKUP(A29,Assess_B_Reference,34,FALSE)=8,0,1)</f>
        <v>1</v>
      </c>
      <c r="X29" s="106">
        <f ca="1">W29*V29*4</f>
        <v>20</v>
      </c>
      <c r="Y29" s="77" t="str">
        <f ca="1">AG29&amp;U29</f>
        <v>B.2</v>
      </c>
      <c r="AD29" s="86"/>
      <c r="AE29" s="86"/>
      <c r="AF29" s="86"/>
      <c r="AG29" s="79"/>
      <c r="AH29" s="86"/>
      <c r="AI29" s="79"/>
    </row>
    <row r="30" spans="1:35" s="77" customFormat="1" ht="30" customHeight="1" x14ac:dyDescent="0.25">
      <c r="A30" s="68">
        <v>94</v>
      </c>
      <c r="B30" s="69" t="str">
        <f t="shared" ca="1" si="0"/>
        <v>B.3</v>
      </c>
      <c r="C30" s="70">
        <f t="shared" ca="1" si="1"/>
        <v>2</v>
      </c>
      <c r="D30" s="20"/>
      <c r="E30" s="111" t="str">
        <f t="shared" ca="1" si="2"/>
        <v>Step 3</v>
      </c>
      <c r="F30" s="108" t="str">
        <f t="shared" ca="1" si="3"/>
        <v>Produce scope statements</v>
      </c>
      <c r="G30" s="193" t="str">
        <f ca="1">"Maturity level:  "&amp;O30</f>
        <v>Maturity level:  Level 1</v>
      </c>
      <c r="H30" s="194"/>
      <c r="I30" s="172"/>
      <c r="J30" s="107"/>
      <c r="K30" s="107"/>
      <c r="L30" s="107" t="str">
        <f ca="1">TEXT(B30,"0.0")</f>
        <v>B.3</v>
      </c>
      <c r="M30" s="106">
        <f ca="1">SUMIF(Y:Y,L30,G:G)/(SUMIF(Y:Y,L30,X:X))</f>
        <v>0</v>
      </c>
      <c r="N30" s="106" t="str">
        <f ca="1">HLOOKUP(M30*100,level_ref,2,TRUE)</f>
        <v>Level 1</v>
      </c>
      <c r="O30" s="106" t="str">
        <f ca="1">IF(ISERROR(N30),"",N30)</f>
        <v>Level 1</v>
      </c>
      <c r="P30" s="106">
        <f ca="1">HLOOKUP(M30*100,level_ref,3,TRUE)</f>
        <v>1</v>
      </c>
      <c r="Q30" s="106">
        <f ca="1">IF(ISERROR(P30),"",P30)</f>
        <v>1</v>
      </c>
      <c r="R30" s="106">
        <f ca="1">M30*5</f>
        <v>0</v>
      </c>
      <c r="S30" s="106"/>
      <c r="T30" s="106"/>
      <c r="U30" s="106" t="str">
        <f ca="1">IF(AND(C30&gt;4,VLOOKUP(A30,Assess_B_Reference,34,FALSE)&lt;&gt;8),LEFT(B30,3),"")</f>
        <v/>
      </c>
      <c r="V30" s="106">
        <f ca="1">VLOOKUP(A30,Weightings_Assessments,24,FALSE)</f>
        <v>0</v>
      </c>
      <c r="W30" s="106">
        <f ca="1">IF(VLOOKUP(A30,Assess_B_Reference,34,FALSE)=8,0,1)</f>
        <v>1</v>
      </c>
      <c r="X30" s="106">
        <f ca="1">W30*V30*4</f>
        <v>0</v>
      </c>
      <c r="Y30" s="77" t="str">
        <f ca="1">AG30&amp;U30</f>
        <v/>
      </c>
      <c r="AD30" s="86"/>
      <c r="AE30" s="86"/>
      <c r="AF30" s="86"/>
      <c r="AG30" s="79"/>
      <c r="AH30" s="86"/>
      <c r="AI30" s="79"/>
    </row>
    <row r="31" spans="1:35" s="77" customFormat="1" ht="30" customHeight="1" x14ac:dyDescent="0.25">
      <c r="A31" s="68">
        <v>95</v>
      </c>
      <c r="B31" s="69" t="str">
        <f t="shared" ca="1" si="0"/>
        <v>B.3.01</v>
      </c>
      <c r="C31" s="70">
        <f t="shared" ca="1" si="1"/>
        <v>5</v>
      </c>
      <c r="D31" s="20"/>
      <c r="E31" s="91" t="str">
        <f t="shared" ca="1" si="2"/>
        <v>B.3.01</v>
      </c>
      <c r="F31" s="72" t="str">
        <f t="shared" ca="1" si="3"/>
        <v>Do you formally define the scope of penetration tests prior to tests commencing?</v>
      </c>
      <c r="G31" s="195" t="str">
        <f ca="1">VLOOKUP($A31,Assess_B_Reference,15,FALSE)</f>
        <v/>
      </c>
      <c r="H31" s="195">
        <f ca="1">(VLOOKUP(LEFT($B31,3),Targets_Lookup,5,FALSE))*VLOOKUP($A31,Weightings_Assessments,23,FALSE)</f>
        <v>4</v>
      </c>
      <c r="I31" s="72" t="str">
        <f ca="1">IF(VLOOKUP(A31,Assess_B_Reference,16,FALSE)=0,"",VLOOKUP(A31,Assess_B_Reference,16,FALSE))</f>
        <v/>
      </c>
      <c r="J31" s="70"/>
      <c r="K31" s="70"/>
      <c r="L31" s="70"/>
      <c r="M31" s="70"/>
      <c r="N31" s="70"/>
      <c r="O31" s="70"/>
      <c r="P31" s="70"/>
      <c r="Q31" s="70"/>
      <c r="R31" s="70"/>
      <c r="S31" s="70"/>
      <c r="T31" s="78"/>
      <c r="U31" s="106" t="str">
        <f ca="1">IF(AND(C31&gt;4,VLOOKUP(A31,Assess_B_Reference,34,FALSE)&lt;&gt;8),LEFT(B31,3),"")</f>
        <v>B.3</v>
      </c>
      <c r="V31" s="106">
        <f ca="1">VLOOKUP(A31,Weightings_Assessments,24,FALSE)</f>
        <v>1</v>
      </c>
      <c r="W31" s="106">
        <f ca="1">IF(VLOOKUP(A31,Assess_B_Reference,34,FALSE)=8,0,1)</f>
        <v>1</v>
      </c>
      <c r="X31" s="106">
        <f ca="1">W31*V31*4</f>
        <v>4</v>
      </c>
      <c r="Y31" s="77" t="str">
        <f ca="1">AG31&amp;U31</f>
        <v>B.3</v>
      </c>
      <c r="AD31" s="86"/>
      <c r="AE31" s="86"/>
      <c r="AF31" s="86"/>
      <c r="AG31" s="79"/>
      <c r="AH31" s="86"/>
      <c r="AI31" s="79"/>
    </row>
    <row r="32" spans="1:35" s="77" customFormat="1" ht="30" customHeight="1" x14ac:dyDescent="0.25">
      <c r="A32" s="68">
        <v>96</v>
      </c>
      <c r="B32" s="69" t="str">
        <f t="shared" ca="1" si="0"/>
        <v>B.3.02</v>
      </c>
      <c r="C32" s="70">
        <f t="shared" ca="1" si="1"/>
        <v>5</v>
      </c>
      <c r="D32" s="20"/>
      <c r="E32" s="91" t="str">
        <f t="shared" ca="1" si="2"/>
        <v>B.3.02</v>
      </c>
      <c r="F32" s="72" t="str">
        <f t="shared" ca="1" si="3"/>
        <v>Is the scope of penetration tests recorded in a formal document, such as a scope statement, that is signed-off by all relevant parties?</v>
      </c>
      <c r="G32" s="195" t="str">
        <f ca="1">VLOOKUP($A32,Assess_B_Reference,15,FALSE)</f>
        <v/>
      </c>
      <c r="H32" s="195">
        <f ca="1">(VLOOKUP(LEFT($B32,3),Targets_Lookup,5,FALSE))*VLOOKUP($A32,Weightings_Assessments,23,FALSE)</f>
        <v>8</v>
      </c>
      <c r="I32" s="72" t="str">
        <f ca="1">IF(VLOOKUP(A32,Assess_B_Reference,16,FALSE)=0,"",VLOOKUP(A32,Assess_B_Reference,16,FALSE))</f>
        <v/>
      </c>
      <c r="J32" s="70"/>
      <c r="K32" s="70"/>
      <c r="L32" s="70"/>
      <c r="M32" s="70"/>
      <c r="N32" s="70"/>
      <c r="O32" s="70"/>
      <c r="P32" s="70"/>
      <c r="Q32" s="70"/>
      <c r="R32" s="70"/>
      <c r="S32" s="70"/>
      <c r="T32" s="78"/>
      <c r="U32" s="106" t="str">
        <f ca="1">IF(AND(C32&gt;4,VLOOKUP(A32,Assess_B_Reference,34,FALSE)&lt;&gt;8),LEFT(B32,3),"")</f>
        <v>B.3</v>
      </c>
      <c r="V32" s="106">
        <f ca="1">VLOOKUP(A32,Weightings_Assessments,24,FALSE)</f>
        <v>2</v>
      </c>
      <c r="W32" s="106">
        <f ca="1">IF(VLOOKUP(A32,Assess_B_Reference,34,FALSE)=8,0,1)</f>
        <v>1</v>
      </c>
      <c r="X32" s="106">
        <f ca="1">W32*V32*4</f>
        <v>8</v>
      </c>
      <c r="Y32" s="77" t="str">
        <f ca="1">AG32&amp;U32</f>
        <v>B.3</v>
      </c>
      <c r="AD32" s="86"/>
      <c r="AE32" s="86"/>
      <c r="AF32" s="86"/>
      <c r="AG32" s="79"/>
      <c r="AH32" s="86"/>
      <c r="AI32" s="79"/>
    </row>
    <row r="33" spans="1:35" s="77" customFormat="1" ht="60" x14ac:dyDescent="0.25">
      <c r="A33" s="68">
        <v>97</v>
      </c>
      <c r="B33" s="69" t="str">
        <f t="shared" ca="1" si="0"/>
        <v/>
      </c>
      <c r="C33" s="70">
        <f t="shared" ca="1" si="1"/>
        <v>3</v>
      </c>
      <c r="D33" s="20"/>
      <c r="E33" s="91" t="str">
        <f t="shared" ca="1" si="2"/>
        <v/>
      </c>
      <c r="F33" s="166" t="str">
        <f t="shared" ca="1" si="3"/>
        <v>Relevant parties (i.e. named individuals or groups) required to sign-off the scope statement should include authorised and suitably qualified individuals from all relevant parties; plus relevant, qualified individuals dependent on the value of the system being tested (or similar).</v>
      </c>
      <c r="G33" s="85"/>
      <c r="H33" s="85"/>
      <c r="I33" s="72"/>
      <c r="J33" s="70"/>
      <c r="K33" s="70"/>
      <c r="L33" s="70"/>
      <c r="M33" s="70"/>
      <c r="N33" s="70"/>
      <c r="O33" s="70"/>
      <c r="P33" s="70"/>
      <c r="Q33" s="70"/>
      <c r="R33" s="70"/>
      <c r="S33" s="70"/>
      <c r="T33" s="78"/>
      <c r="U33" s="78"/>
      <c r="V33" s="78"/>
      <c r="W33" s="78"/>
      <c r="X33" s="78"/>
      <c r="AD33" s="86"/>
      <c r="AE33" s="86"/>
      <c r="AF33" s="86"/>
      <c r="AG33" s="79"/>
      <c r="AH33" s="86"/>
      <c r="AI33" s="79"/>
    </row>
    <row r="34" spans="1:35" s="77" customFormat="1" ht="30" customHeight="1" x14ac:dyDescent="0.25">
      <c r="A34" s="68">
        <v>98</v>
      </c>
      <c r="B34" s="69" t="str">
        <f t="shared" ca="1" si="0"/>
        <v>B.3.03</v>
      </c>
      <c r="C34" s="70">
        <f t="shared" ca="1" si="1"/>
        <v>5</v>
      </c>
      <c r="D34" s="20"/>
      <c r="E34" s="91" t="str">
        <f t="shared" ca="1" si="2"/>
        <v>B.3.03</v>
      </c>
      <c r="F34" s="72" t="str">
        <f t="shared" ca="1" si="3"/>
        <v>Does your scope statement include a definition of the target environment?</v>
      </c>
      <c r="G34" s="195" t="str">
        <f ca="1">VLOOKUP($A34,Assess_B_Reference,15,FALSE)</f>
        <v/>
      </c>
      <c r="H34" s="195">
        <f ca="1">(VLOOKUP(LEFT($B34,3),Targets_Lookup,5,FALSE))*VLOOKUP($A34,Weightings_Assessments,23,FALSE)</f>
        <v>12</v>
      </c>
      <c r="I34" s="72" t="str">
        <f ca="1">IF(VLOOKUP(A34,Assess_B_Reference,16,FALSE)=0,"",VLOOKUP(A34,Assess_B_Reference,16,FALSE))</f>
        <v/>
      </c>
      <c r="J34" s="70"/>
      <c r="K34" s="70"/>
      <c r="L34" s="70"/>
      <c r="M34" s="70"/>
      <c r="N34" s="70"/>
      <c r="O34" s="70"/>
      <c r="P34" s="70"/>
      <c r="Q34" s="70"/>
      <c r="R34" s="70"/>
      <c r="S34" s="70"/>
      <c r="T34" s="78"/>
      <c r="U34" s="106" t="str">
        <f ca="1">IF(AND(C34&gt;4,VLOOKUP(A34,Assess_B_Reference,34,FALSE)&lt;&gt;8),LEFT(B34,3),"")</f>
        <v>B.3</v>
      </c>
      <c r="V34" s="106">
        <f ca="1">VLOOKUP(A34,Weightings_Assessments,24,FALSE)</f>
        <v>3</v>
      </c>
      <c r="W34" s="106">
        <f ca="1">IF(VLOOKUP(A34,Assess_B_Reference,34,FALSE)=8,0,1)</f>
        <v>1</v>
      </c>
      <c r="X34" s="106">
        <f ca="1">W34*V34*4</f>
        <v>12</v>
      </c>
      <c r="Y34" s="77" t="str">
        <f ca="1">AG34&amp;U34</f>
        <v>B.3</v>
      </c>
      <c r="AD34" s="86"/>
      <c r="AE34" s="86"/>
      <c r="AF34" s="86"/>
      <c r="AG34" s="79"/>
      <c r="AH34" s="86"/>
      <c r="AI34" s="79"/>
    </row>
    <row r="35" spans="1:35" s="77" customFormat="1" ht="105" x14ac:dyDescent="0.25">
      <c r="A35" s="68">
        <v>99</v>
      </c>
      <c r="B35" s="69" t="str">
        <f t="shared" ca="1" si="0"/>
        <v/>
      </c>
      <c r="C35" s="70">
        <f t="shared" ca="1" si="1"/>
        <v>3</v>
      </c>
      <c r="D35" s="20"/>
      <c r="E35" s="91" t="str">
        <f t="shared" ca="1" si="2"/>
        <v/>
      </c>
      <c r="F35" s="166" t="str">
        <f t="shared" ca="1" si="3"/>
        <v>The definition of the target environment should include: which systems are in and out of scope; the testing approach being adopted (e.g. black, white or grey box); types of test that are prohibited (e.g. ‘denial of service’ type testing); where the testing team will need to be in order to conduct the testing (e.g. on the customer’s site or at the test service provider’s premises); and approvals required for various elements of the testing to go ahead.</v>
      </c>
      <c r="G35" s="85"/>
      <c r="H35" s="85"/>
      <c r="I35" s="72"/>
      <c r="J35" s="70"/>
      <c r="K35" s="70"/>
      <c r="L35" s="70"/>
      <c r="M35" s="70"/>
      <c r="N35" s="70"/>
      <c r="O35" s="70"/>
      <c r="P35" s="70"/>
      <c r="Q35" s="70"/>
      <c r="R35" s="70"/>
      <c r="S35" s="70"/>
      <c r="T35" s="78"/>
      <c r="U35" s="78"/>
      <c r="V35" s="78"/>
      <c r="W35" s="78"/>
      <c r="X35" s="78"/>
      <c r="AD35" s="86"/>
      <c r="AE35" s="86"/>
      <c r="AF35" s="86"/>
      <c r="AG35" s="79"/>
      <c r="AH35" s="86"/>
      <c r="AI35" s="79"/>
    </row>
    <row r="36" spans="1:35" s="77" customFormat="1" ht="30" customHeight="1" x14ac:dyDescent="0.25">
      <c r="A36" s="68">
        <v>100</v>
      </c>
      <c r="B36" s="69" t="str">
        <f t="shared" ca="1" si="0"/>
        <v>B.3.04</v>
      </c>
      <c r="C36" s="70">
        <f t="shared" ca="1" si="1"/>
        <v>5</v>
      </c>
      <c r="D36" s="20"/>
      <c r="E36" s="91" t="str">
        <f t="shared" ca="1" si="2"/>
        <v>B.3.04</v>
      </c>
      <c r="F36" s="72" t="str">
        <f t="shared" ca="1" si="3"/>
        <v>Does your scope statement specify resourcing requirements?</v>
      </c>
      <c r="G36" s="195" t="str">
        <f ca="1">VLOOKUP($A36,Assess_B_Reference,15,FALSE)</f>
        <v/>
      </c>
      <c r="H36" s="195">
        <f ca="1">(VLOOKUP(LEFT($B36,3),Targets_Lookup,5,FALSE))*VLOOKUP($A36,Weightings_Assessments,23,FALSE)</f>
        <v>12</v>
      </c>
      <c r="I36" s="72" t="str">
        <f ca="1">IF(VLOOKUP(A36,Assess_B_Reference,16,FALSE)=0,"",VLOOKUP(A36,Assess_B_Reference,16,FALSE))</f>
        <v/>
      </c>
      <c r="J36" s="70"/>
      <c r="K36" s="70"/>
      <c r="L36" s="70"/>
      <c r="M36" s="70"/>
      <c r="N36" s="70"/>
      <c r="O36" s="70"/>
      <c r="P36" s="70"/>
      <c r="Q36" s="70"/>
      <c r="R36" s="70"/>
      <c r="S36" s="70"/>
      <c r="T36" s="78"/>
      <c r="U36" s="106" t="str">
        <f ca="1">IF(AND(C36&gt;4,VLOOKUP(A36,Assess_B_Reference,34,FALSE)&lt;&gt;8),LEFT(B36,3),"")</f>
        <v>B.3</v>
      </c>
      <c r="V36" s="106">
        <f ca="1">VLOOKUP(A36,Weightings_Assessments,24,FALSE)</f>
        <v>3</v>
      </c>
      <c r="W36" s="106">
        <f ca="1">IF(VLOOKUP(A36,Assess_B_Reference,34,FALSE)=8,0,1)</f>
        <v>1</v>
      </c>
      <c r="X36" s="106">
        <f ca="1">W36*V36*4</f>
        <v>12</v>
      </c>
      <c r="Y36" s="77" t="str">
        <f ca="1">AG36&amp;U36</f>
        <v>B.3</v>
      </c>
      <c r="AD36" s="86"/>
      <c r="AE36" s="86"/>
      <c r="AF36" s="86"/>
      <c r="AG36" s="79"/>
      <c r="AH36" s="86"/>
      <c r="AI36" s="79"/>
    </row>
    <row r="37" spans="1:35" s="77" customFormat="1" ht="105" x14ac:dyDescent="0.25">
      <c r="A37" s="68">
        <v>101</v>
      </c>
      <c r="B37" s="69" t="str">
        <f t="shared" ca="1" si="0"/>
        <v/>
      </c>
      <c r="C37" s="70">
        <f t="shared" ca="1" si="1"/>
        <v>3</v>
      </c>
      <c r="D37" s="20"/>
      <c r="E37" s="91" t="str">
        <f t="shared" ca="1" si="2"/>
        <v/>
      </c>
      <c r="F37" s="166" t="str">
        <f t="shared" ca="1" si="3"/>
        <v>Resourcing requirements should specify who will be leading the testing engagement, the names of testers that will be used for the testing engagement (with details about their roles, skills, experience, qualifications and backgrounds) and the number of days required (including the days on which testing will take place) – and require a disclaimer stating that they are legally authorised to carry out specified activity on your property and systems.</v>
      </c>
      <c r="G37" s="85"/>
      <c r="H37" s="85"/>
      <c r="I37" s="72"/>
      <c r="J37" s="70"/>
      <c r="K37" s="70"/>
      <c r="L37" s="70"/>
      <c r="M37" s="70"/>
      <c r="N37" s="70"/>
      <c r="O37" s="70"/>
      <c r="P37" s="70"/>
      <c r="Q37" s="70"/>
      <c r="R37" s="70"/>
      <c r="S37" s="70"/>
      <c r="T37" s="78"/>
      <c r="U37" s="78"/>
      <c r="V37" s="78"/>
      <c r="W37" s="78"/>
      <c r="X37" s="78"/>
      <c r="AD37" s="86"/>
      <c r="AE37" s="86"/>
      <c r="AF37" s="86"/>
      <c r="AG37" s="79"/>
      <c r="AH37" s="86"/>
      <c r="AI37" s="79"/>
    </row>
    <row r="38" spans="1:35" s="77" customFormat="1" ht="30" customHeight="1" x14ac:dyDescent="0.25">
      <c r="A38" s="68">
        <v>102</v>
      </c>
      <c r="B38" s="69" t="str">
        <f t="shared" ca="1" si="0"/>
        <v>B.3.05</v>
      </c>
      <c r="C38" s="70">
        <f t="shared" ca="1" si="1"/>
        <v>5</v>
      </c>
      <c r="D38" s="20"/>
      <c r="E38" s="91" t="str">
        <f t="shared" ca="1" si="2"/>
        <v>B.3.05</v>
      </c>
      <c r="F38" s="72" t="str">
        <f t="shared" ca="1" si="3"/>
        <v>Does your scope statement define liabilities?</v>
      </c>
      <c r="G38" s="195" t="str">
        <f ca="1">VLOOKUP($A38,Assess_B_Reference,15,FALSE)</f>
        <v/>
      </c>
      <c r="H38" s="195">
        <f ca="1">(VLOOKUP(LEFT($B38,3),Targets_Lookup,5,FALSE))*VLOOKUP($A38,Weightings_Assessments,23,FALSE)</f>
        <v>20</v>
      </c>
      <c r="I38" s="72" t="str">
        <f ca="1">IF(VLOOKUP(A38,Assess_B_Reference,16,FALSE)=0,"",VLOOKUP(A38,Assess_B_Reference,16,FALSE))</f>
        <v/>
      </c>
      <c r="J38" s="70"/>
      <c r="K38" s="70"/>
      <c r="L38" s="70"/>
      <c r="M38" s="70"/>
      <c r="N38" s="70"/>
      <c r="O38" s="70"/>
      <c r="P38" s="70"/>
      <c r="Q38" s="70"/>
      <c r="R38" s="70"/>
      <c r="S38" s="70"/>
      <c r="T38" s="78"/>
      <c r="U38" s="106" t="str">
        <f ca="1">IF(AND(C38&gt;4,VLOOKUP(A38,Assess_B_Reference,34,FALSE)&lt;&gt;8),LEFT(B38,3),"")</f>
        <v>B.3</v>
      </c>
      <c r="V38" s="106">
        <f ca="1">VLOOKUP(A38,Weightings_Assessments,24,FALSE)</f>
        <v>5</v>
      </c>
      <c r="W38" s="106">
        <f ca="1">IF(VLOOKUP(A38,Assess_B_Reference,34,FALSE)=8,0,1)</f>
        <v>1</v>
      </c>
      <c r="X38" s="106">
        <f ca="1">W38*V38*4</f>
        <v>20</v>
      </c>
      <c r="Y38" s="77" t="str">
        <f ca="1">AG38&amp;U38</f>
        <v>B.3</v>
      </c>
      <c r="AD38" s="86"/>
      <c r="AE38" s="86"/>
      <c r="AF38" s="86"/>
      <c r="AG38" s="79"/>
      <c r="AH38" s="86"/>
      <c r="AI38" s="79"/>
    </row>
    <row r="39" spans="1:35" s="77" customFormat="1" ht="60" x14ac:dyDescent="0.25">
      <c r="A39" s="68">
        <v>103</v>
      </c>
      <c r="B39" s="69" t="str">
        <f t="shared" ca="1" si="0"/>
        <v/>
      </c>
      <c r="C39" s="70">
        <f t="shared" ca="1" si="1"/>
        <v>3</v>
      </c>
      <c r="D39" s="20"/>
      <c r="E39" s="91" t="str">
        <f t="shared" ca="1" si="2"/>
        <v/>
      </c>
      <c r="F39" s="166" t="str">
        <f t="shared" ca="1" si="3"/>
        <v>The definition of liabilities in the scope statement should specify the steps required by both parties should problems (e.g. slippage) arise and the details of liability (indemnity) insurance to be held by the testing service provider.</v>
      </c>
      <c r="G39" s="85"/>
      <c r="H39" s="85"/>
      <c r="I39" s="72"/>
      <c r="J39" s="70"/>
      <c r="K39" s="70"/>
      <c r="L39" s="70"/>
      <c r="M39" s="70"/>
      <c r="N39" s="70"/>
      <c r="O39" s="70"/>
      <c r="P39" s="70"/>
      <c r="Q39" s="70"/>
      <c r="R39" s="70"/>
      <c r="S39" s="70"/>
      <c r="T39" s="78"/>
      <c r="U39" s="78"/>
      <c r="V39" s="78"/>
      <c r="W39" s="78"/>
      <c r="X39" s="78"/>
      <c r="AD39" s="86"/>
      <c r="AE39" s="86"/>
      <c r="AF39" s="86"/>
      <c r="AG39" s="79"/>
      <c r="AH39" s="86"/>
      <c r="AI39" s="79"/>
    </row>
    <row r="40" spans="1:35" s="77" customFormat="1" ht="30" customHeight="1" x14ac:dyDescent="0.25">
      <c r="A40" s="68">
        <v>104</v>
      </c>
      <c r="B40" s="69" t="str">
        <f t="shared" ref="B40:B71" ca="1" si="12">VLOOKUP(A40,Contents_Text,2,FALSE)</f>
        <v>B.3.06</v>
      </c>
      <c r="C40" s="70">
        <f t="shared" ref="C40:C71" ca="1" si="13">VLOOKUP(A40,Contents_Text,15,FALSE)</f>
        <v>5</v>
      </c>
      <c r="D40" s="20"/>
      <c r="E40" s="91" t="str">
        <f t="shared" ref="E40:E71" ca="1" si="14">IF(C40=1,"Phase "&amp;B40,IF(C40=2,"Step "&amp;VLOOKUP(A40,Contents_Text,4,FALSE),B40))</f>
        <v>B.3.06</v>
      </c>
      <c r="F40" s="72" t="str">
        <f t="shared" ref="F40:F71" ca="1" si="15">VLOOKUP(A40,Contents_Text,7,FALSE)</f>
        <v>Does your scope statement include follow-up activities?</v>
      </c>
      <c r="G40" s="195" t="str">
        <f ca="1">VLOOKUP($A40,Assess_B_Reference,15,FALSE)</f>
        <v/>
      </c>
      <c r="H40" s="195">
        <f ca="1">(VLOOKUP(LEFT($B40,3),Targets_Lookup,5,FALSE))*VLOOKUP($A40,Weightings_Assessments,23,FALSE)</f>
        <v>12</v>
      </c>
      <c r="I40" s="72" t="str">
        <f ca="1">IF(VLOOKUP(A40,Assess_B_Reference,16,FALSE)=0,"",VLOOKUP(A40,Assess_B_Reference,16,FALSE))</f>
        <v/>
      </c>
      <c r="J40" s="70"/>
      <c r="K40" s="70"/>
      <c r="L40" s="70"/>
      <c r="M40" s="70"/>
      <c r="N40" s="70"/>
      <c r="O40" s="70"/>
      <c r="P40" s="70"/>
      <c r="Q40" s="70"/>
      <c r="R40" s="70"/>
      <c r="S40" s="70"/>
      <c r="T40" s="78"/>
      <c r="U40" s="106" t="str">
        <f ca="1">IF(AND(C40&gt;4,VLOOKUP(A40,Assess_B_Reference,34,FALSE)&lt;&gt;8),LEFT(B40,3),"")</f>
        <v>B.3</v>
      </c>
      <c r="V40" s="106">
        <f ca="1">VLOOKUP(A40,Weightings_Assessments,24,FALSE)</f>
        <v>3</v>
      </c>
      <c r="W40" s="106">
        <f ca="1">IF(VLOOKUP(A40,Assess_B_Reference,34,FALSE)=8,0,1)</f>
        <v>1</v>
      </c>
      <c r="X40" s="106">
        <f ca="1">W40*V40*4</f>
        <v>12</v>
      </c>
      <c r="Y40" s="77" t="str">
        <f ca="1">AG40&amp;U40</f>
        <v>B.3</v>
      </c>
      <c r="AD40" s="86"/>
      <c r="AE40" s="86"/>
      <c r="AF40" s="86"/>
      <c r="AG40" s="79"/>
      <c r="AH40" s="86"/>
      <c r="AI40" s="79"/>
    </row>
    <row r="41" spans="1:35" s="77" customFormat="1" ht="60" x14ac:dyDescent="0.25">
      <c r="A41" s="68">
        <v>105</v>
      </c>
      <c r="B41" s="69" t="str">
        <f t="shared" ca="1" si="12"/>
        <v/>
      </c>
      <c r="C41" s="70">
        <f t="shared" ca="1" si="13"/>
        <v>3</v>
      </c>
      <c r="D41" s="20"/>
      <c r="E41" s="91" t="str">
        <f t="shared" ca="1" si="14"/>
        <v/>
      </c>
      <c r="F41" s="166" t="str">
        <f t="shared" ca="1" si="15"/>
        <v>Follow-up activities should include presentation of key findings and recommendations to senior management and any re-testing needed once mitigations have been made for the discovered vulnerabilities’ required by both parties should problems (e.g. slippage) arise.</v>
      </c>
      <c r="G41" s="85"/>
      <c r="H41" s="85"/>
      <c r="I41" s="72"/>
      <c r="J41" s="70"/>
      <c r="K41" s="70"/>
      <c r="L41" s="70"/>
      <c r="M41" s="70"/>
      <c r="N41" s="70"/>
      <c r="O41" s="70"/>
      <c r="P41" s="70"/>
      <c r="Q41" s="70"/>
      <c r="R41" s="70"/>
      <c r="S41" s="70"/>
      <c r="T41" s="78"/>
      <c r="U41" s="78"/>
      <c r="V41" s="78"/>
      <c r="W41" s="78"/>
      <c r="X41" s="78"/>
      <c r="AD41" s="86"/>
      <c r="AE41" s="86"/>
      <c r="AF41" s="86"/>
      <c r="AG41" s="79"/>
      <c r="AH41" s="86"/>
      <c r="AI41" s="79"/>
    </row>
    <row r="42" spans="1:35" s="77" customFormat="1" ht="30" customHeight="1" x14ac:dyDescent="0.25">
      <c r="A42" s="68">
        <v>106</v>
      </c>
      <c r="B42" s="69" t="str">
        <f t="shared" ca="1" si="12"/>
        <v>B.3.07</v>
      </c>
      <c r="C42" s="70">
        <f t="shared" ca="1" si="13"/>
        <v>5</v>
      </c>
      <c r="D42" s="20"/>
      <c r="E42" s="91" t="str">
        <f t="shared" ca="1" si="14"/>
        <v>B.3.07</v>
      </c>
      <c r="F42" s="72" t="str">
        <f t="shared" ca="1" si="15"/>
        <v>Do you formally define reporting requirements for your penetration testing prior to tests commencing?</v>
      </c>
      <c r="G42" s="195" t="str">
        <f ca="1">VLOOKUP($A42,Assess_B_Reference,15,FALSE)</f>
        <v/>
      </c>
      <c r="H42" s="195">
        <f ca="1">(VLOOKUP(LEFT($B42,3),Targets_Lookup,5,FALSE))*VLOOKUP($A42,Weightings_Assessments,23,FALSE)</f>
        <v>4</v>
      </c>
      <c r="I42" s="72" t="str">
        <f ca="1">IF(VLOOKUP(A42,Assess_B_Reference,16,FALSE)=0,"",VLOOKUP(A42,Assess_B_Reference,16,FALSE))</f>
        <v/>
      </c>
      <c r="J42" s="70"/>
      <c r="K42" s="70"/>
      <c r="L42" s="70"/>
      <c r="M42" s="70"/>
      <c r="N42" s="70"/>
      <c r="O42" s="70"/>
      <c r="P42" s="70"/>
      <c r="Q42" s="70"/>
      <c r="R42" s="70"/>
      <c r="S42" s="70"/>
      <c r="T42" s="78"/>
      <c r="U42" s="106" t="str">
        <f t="shared" ref="U42:U47" ca="1" si="16">IF(AND(C42&gt;4,VLOOKUP(A42,Assess_B_Reference,34,FALSE)&lt;&gt;8),LEFT(B42,3),"")</f>
        <v>B.3</v>
      </c>
      <c r="V42" s="106">
        <f t="shared" ref="V42:V47" ca="1" si="17">VLOOKUP(A42,Weightings_Assessments,24,FALSE)</f>
        <v>1</v>
      </c>
      <c r="W42" s="106">
        <f t="shared" ref="W42:W47" ca="1" si="18">IF(VLOOKUP(A42,Assess_B_Reference,34,FALSE)=8,0,1)</f>
        <v>1</v>
      </c>
      <c r="X42" s="106">
        <f t="shared" ref="X42:X47" ca="1" si="19">W42*V42*4</f>
        <v>4</v>
      </c>
      <c r="Y42" s="77" t="str">
        <f t="shared" ref="Y42:Y47" ca="1" si="20">AG42&amp;U42</f>
        <v>B.3</v>
      </c>
      <c r="AD42" s="86"/>
      <c r="AE42" s="86"/>
      <c r="AF42" s="86"/>
      <c r="AG42" s="79"/>
      <c r="AH42" s="86"/>
      <c r="AI42" s="79"/>
    </row>
    <row r="43" spans="1:35" s="77" customFormat="1" ht="60" x14ac:dyDescent="0.25">
      <c r="A43" s="68">
        <v>107</v>
      </c>
      <c r="B43" s="69" t="str">
        <f t="shared" ca="1" si="12"/>
        <v>B.3.08</v>
      </c>
      <c r="C43" s="70">
        <f t="shared" ca="1" si="13"/>
        <v>5</v>
      </c>
      <c r="D43" s="20"/>
      <c r="E43" s="91" t="str">
        <f t="shared" ca="1" si="14"/>
        <v>B.3.08</v>
      </c>
      <c r="F43" s="72" t="str">
        <f t="shared" ca="1" si="15"/>
        <v>Do your reporting requirements specify the format and type of content to be used in the test report (template often used; when the test report will be delivered (not later than a few days after completion of the test); and how the test report will be delivered (electronic and / or physical)?</v>
      </c>
      <c r="G43" s="195" t="str">
        <f ca="1">VLOOKUP($A43,Assess_B_Reference,15,FALSE)</f>
        <v/>
      </c>
      <c r="H43" s="195">
        <f ca="1">(VLOOKUP(LEFT($B43,3),Targets_Lookup,5,FALSE))*VLOOKUP($A43,Weightings_Assessments,23,FALSE)</f>
        <v>12</v>
      </c>
      <c r="I43" s="72" t="str">
        <f ca="1">IF(VLOOKUP(A43,Assess_B_Reference,16,FALSE)=0,"",VLOOKUP(A43,Assess_B_Reference,16,FALSE))</f>
        <v/>
      </c>
      <c r="J43" s="70"/>
      <c r="K43" s="70"/>
      <c r="L43" s="70"/>
      <c r="M43" s="70"/>
      <c r="N43" s="70"/>
      <c r="O43" s="70"/>
      <c r="P43" s="70"/>
      <c r="Q43" s="70"/>
      <c r="R43" s="70"/>
      <c r="S43" s="70"/>
      <c r="T43" s="78"/>
      <c r="U43" s="106" t="str">
        <f t="shared" ca="1" si="16"/>
        <v>B.3</v>
      </c>
      <c r="V43" s="106">
        <f t="shared" ca="1" si="17"/>
        <v>3</v>
      </c>
      <c r="W43" s="106">
        <f t="shared" ca="1" si="18"/>
        <v>1</v>
      </c>
      <c r="X43" s="106">
        <f t="shared" ca="1" si="19"/>
        <v>12</v>
      </c>
      <c r="Y43" s="77" t="str">
        <f t="shared" ca="1" si="20"/>
        <v>B.3</v>
      </c>
      <c r="AD43" s="86"/>
      <c r="AE43" s="86"/>
      <c r="AF43" s="86"/>
      <c r="AG43" s="79"/>
      <c r="AH43" s="86"/>
      <c r="AI43" s="79"/>
    </row>
    <row r="44" spans="1:35" s="77" customFormat="1" ht="30" customHeight="1" x14ac:dyDescent="0.25">
      <c r="A44" s="68">
        <v>108</v>
      </c>
      <c r="B44" s="69" t="str">
        <f t="shared" ca="1" si="12"/>
        <v>B.4</v>
      </c>
      <c r="C44" s="70">
        <f t="shared" ca="1" si="13"/>
        <v>2</v>
      </c>
      <c r="D44" s="20"/>
      <c r="E44" s="111" t="str">
        <f t="shared" ca="1" si="14"/>
        <v>Step 4</v>
      </c>
      <c r="F44" s="108" t="str">
        <f t="shared" ca="1" si="15"/>
        <v>Establish a management assurance framework</v>
      </c>
      <c r="G44" s="193" t="str">
        <f ca="1">"Maturity level:  "&amp;O44</f>
        <v>Maturity level:  Level 1</v>
      </c>
      <c r="H44" s="194"/>
      <c r="I44" s="172"/>
      <c r="J44" s="107"/>
      <c r="K44" s="107"/>
      <c r="L44" s="107" t="str">
        <f ca="1">TEXT(B44,"0.0")</f>
        <v>B.4</v>
      </c>
      <c r="M44" s="106">
        <f ca="1">SUMIF(Y:Y,L44,G:G)/(SUMIF(Y:Y,L44,X:X))</f>
        <v>0</v>
      </c>
      <c r="N44" s="106" t="str">
        <f ca="1">HLOOKUP(M44*100,level_ref,2,TRUE)</f>
        <v>Level 1</v>
      </c>
      <c r="O44" s="106" t="str">
        <f ca="1">IF(ISERROR(N44),"",N44)</f>
        <v>Level 1</v>
      </c>
      <c r="P44" s="106">
        <f ca="1">HLOOKUP(M44*100,level_ref,3,TRUE)</f>
        <v>1</v>
      </c>
      <c r="Q44" s="106">
        <f ca="1">IF(ISERROR(P44),"",P44)</f>
        <v>1</v>
      </c>
      <c r="R44" s="106">
        <f ca="1">M44*5</f>
        <v>0</v>
      </c>
      <c r="S44" s="106"/>
      <c r="T44" s="106"/>
      <c r="U44" s="106" t="str">
        <f t="shared" ca="1" si="16"/>
        <v/>
      </c>
      <c r="V44" s="106">
        <f t="shared" ca="1" si="17"/>
        <v>0</v>
      </c>
      <c r="W44" s="106">
        <f t="shared" ca="1" si="18"/>
        <v>1</v>
      </c>
      <c r="X44" s="106">
        <f t="shared" ca="1" si="19"/>
        <v>0</v>
      </c>
      <c r="Y44" s="77" t="str">
        <f t="shared" ca="1" si="20"/>
        <v/>
      </c>
      <c r="AD44" s="86"/>
      <c r="AE44" s="86"/>
      <c r="AF44" s="86"/>
      <c r="AG44" s="79"/>
      <c r="AH44" s="86"/>
      <c r="AI44" s="79"/>
    </row>
    <row r="45" spans="1:35" s="77" customFormat="1" ht="45" x14ac:dyDescent="0.25">
      <c r="A45" s="68">
        <v>109</v>
      </c>
      <c r="B45" s="69" t="str">
        <f t="shared" ca="1" si="12"/>
        <v>B.4.01</v>
      </c>
      <c r="C45" s="70">
        <f t="shared" ca="1" si="13"/>
        <v>5</v>
      </c>
      <c r="D45" s="20"/>
      <c r="E45" s="91" t="str">
        <f t="shared" ca="1" si="14"/>
        <v>B.4.01</v>
      </c>
      <c r="F45" s="72" t="str">
        <f t="shared" ca="1" si="15"/>
        <v>Are you aware that responsibility for the actual systems and data during penetration testing – and any assurance about them - rests with your organisation?</v>
      </c>
      <c r="G45" s="195" t="str">
        <f ca="1">VLOOKUP($A45,Assess_B_Reference,15,FALSE)</f>
        <v/>
      </c>
      <c r="H45" s="195">
        <f ca="1">(VLOOKUP(LEFT($B45,3),Targets_Lookup,5,FALSE))*VLOOKUP($A45,Weightings_Assessments,23,FALSE)</f>
        <v>4</v>
      </c>
      <c r="I45" s="72" t="str">
        <f ca="1">IF(VLOOKUP(A45,Assess_B_Reference,16,FALSE)=0,"",VLOOKUP(A45,Assess_B_Reference,16,FALSE))</f>
        <v/>
      </c>
      <c r="J45" s="70"/>
      <c r="K45" s="70"/>
      <c r="L45" s="70"/>
      <c r="M45" s="70"/>
      <c r="N45" s="70"/>
      <c r="O45" s="70"/>
      <c r="P45" s="70"/>
      <c r="Q45" s="70"/>
      <c r="R45" s="70"/>
      <c r="S45" s="70"/>
      <c r="T45" s="78"/>
      <c r="U45" s="106" t="str">
        <f t="shared" ca="1" si="16"/>
        <v>B.4</v>
      </c>
      <c r="V45" s="106">
        <f t="shared" ca="1" si="17"/>
        <v>1</v>
      </c>
      <c r="W45" s="106">
        <f t="shared" ca="1" si="18"/>
        <v>1</v>
      </c>
      <c r="X45" s="106">
        <f t="shared" ca="1" si="19"/>
        <v>4</v>
      </c>
      <c r="Y45" s="77" t="str">
        <f t="shared" ca="1" si="20"/>
        <v>B.4</v>
      </c>
      <c r="AD45" s="86"/>
      <c r="AE45" s="86"/>
      <c r="AF45" s="86"/>
      <c r="AG45" s="79"/>
      <c r="AH45" s="86"/>
      <c r="AI45" s="79"/>
    </row>
    <row r="46" spans="1:35" s="77" customFormat="1" ht="30" customHeight="1" x14ac:dyDescent="0.25">
      <c r="A46" s="68">
        <v>110</v>
      </c>
      <c r="B46" s="69" t="str">
        <f t="shared" ca="1" si="12"/>
        <v>B.4.02</v>
      </c>
      <c r="C46" s="70">
        <f t="shared" ca="1" si="13"/>
        <v>5</v>
      </c>
      <c r="D46" s="20"/>
      <c r="E46" s="91" t="str">
        <f t="shared" ca="1" si="14"/>
        <v>B.4.02</v>
      </c>
      <c r="F46" s="72" t="str">
        <f t="shared" ca="1" si="15"/>
        <v>Have you created a documented management assurance framework to help manage all aspects of penetration tests?</v>
      </c>
      <c r="G46" s="195" t="str">
        <f ca="1">VLOOKUP($A46,Assess_B_Reference,15,FALSE)</f>
        <v/>
      </c>
      <c r="H46" s="195">
        <f ca="1">(VLOOKUP(LEFT($B46,3),Targets_Lookup,5,FALSE))*VLOOKUP($A46,Weightings_Assessments,23,FALSE)</f>
        <v>8</v>
      </c>
      <c r="I46" s="72" t="str">
        <f ca="1">IF(VLOOKUP(A46,Assess_B_Reference,16,FALSE)=0,"",VLOOKUP(A46,Assess_B_Reference,16,FALSE))</f>
        <v/>
      </c>
      <c r="J46" s="70"/>
      <c r="K46" s="70"/>
      <c r="L46" s="70"/>
      <c r="M46" s="70"/>
      <c r="N46" s="70"/>
      <c r="O46" s="70"/>
      <c r="P46" s="70"/>
      <c r="Q46" s="70"/>
      <c r="R46" s="70"/>
      <c r="S46" s="70"/>
      <c r="T46" s="78"/>
      <c r="U46" s="106" t="str">
        <f t="shared" ca="1" si="16"/>
        <v>B.4</v>
      </c>
      <c r="V46" s="106">
        <f t="shared" ca="1" si="17"/>
        <v>2</v>
      </c>
      <c r="W46" s="106">
        <f t="shared" ca="1" si="18"/>
        <v>1</v>
      </c>
      <c r="X46" s="106">
        <f t="shared" ca="1" si="19"/>
        <v>8</v>
      </c>
      <c r="Y46" s="77" t="str">
        <f t="shared" ca="1" si="20"/>
        <v>B.4</v>
      </c>
      <c r="AD46" s="86"/>
      <c r="AE46" s="86"/>
      <c r="AF46" s="86"/>
      <c r="AG46" s="79"/>
      <c r="AH46" s="86"/>
      <c r="AI46" s="79"/>
    </row>
    <row r="47" spans="1:35" s="77" customFormat="1" ht="45" x14ac:dyDescent="0.25">
      <c r="A47" s="68">
        <v>111</v>
      </c>
      <c r="B47" s="69" t="str">
        <f t="shared" ca="1" si="12"/>
        <v>B.4.03</v>
      </c>
      <c r="C47" s="70">
        <f t="shared" ca="1" si="13"/>
        <v>5</v>
      </c>
      <c r="D47" s="20"/>
      <c r="E47" s="91" t="str">
        <f t="shared" ca="1" si="14"/>
        <v>B.4.03</v>
      </c>
      <c r="F47" s="72" t="str">
        <f t="shared" ca="1" si="15"/>
        <v>Does your management assurance framework provide assurance to stakeholders that the objectives of penetration tests are achieved (i.e. business requirements are met)?</v>
      </c>
      <c r="G47" s="195" t="str">
        <f ca="1">VLOOKUP($A47,Assess_B_Reference,15,FALSE)</f>
        <v/>
      </c>
      <c r="H47" s="195">
        <f ca="1">(VLOOKUP(LEFT($B47,3),Targets_Lookup,5,FALSE))*VLOOKUP($A47,Weightings_Assessments,23,FALSE)</f>
        <v>20</v>
      </c>
      <c r="I47" s="72" t="str">
        <f ca="1">IF(VLOOKUP(A47,Assess_B_Reference,16,FALSE)=0,"",VLOOKUP(A47,Assess_B_Reference,16,FALSE))</f>
        <v/>
      </c>
      <c r="J47" s="70"/>
      <c r="K47" s="70"/>
      <c r="L47" s="70"/>
      <c r="M47" s="70"/>
      <c r="N47" s="70"/>
      <c r="O47" s="70"/>
      <c r="P47" s="70"/>
      <c r="Q47" s="70"/>
      <c r="R47" s="70"/>
      <c r="S47" s="70"/>
      <c r="T47" s="78"/>
      <c r="U47" s="106" t="str">
        <f t="shared" ca="1" si="16"/>
        <v>B.4</v>
      </c>
      <c r="V47" s="106">
        <f t="shared" ca="1" si="17"/>
        <v>5</v>
      </c>
      <c r="W47" s="106">
        <f t="shared" ca="1" si="18"/>
        <v>1</v>
      </c>
      <c r="X47" s="106">
        <f t="shared" ca="1" si="19"/>
        <v>20</v>
      </c>
      <c r="Y47" s="77" t="str">
        <f t="shared" ca="1" si="20"/>
        <v>B.4</v>
      </c>
      <c r="AD47" s="86"/>
      <c r="AE47" s="86"/>
      <c r="AF47" s="86"/>
      <c r="AG47" s="79"/>
      <c r="AH47" s="86"/>
      <c r="AI47" s="79"/>
    </row>
    <row r="48" spans="1:35" s="77" customFormat="1" ht="75" x14ac:dyDescent="0.25">
      <c r="A48" s="68">
        <v>112</v>
      </c>
      <c r="B48" s="69" t="str">
        <f t="shared" ca="1" si="12"/>
        <v/>
      </c>
      <c r="C48" s="70">
        <f t="shared" ca="1" si="13"/>
        <v>3</v>
      </c>
      <c r="D48" s="20"/>
      <c r="E48" s="91" t="str">
        <f t="shared" ca="1" si="14"/>
        <v/>
      </c>
      <c r="F48" s="166" t="str">
        <f t="shared" ca="1" si="15"/>
        <v>The management assurance framework should provide assurance to stakeholders that contracts with service providers are defined, agreed, signed off and monitored and risks to your organisation (e.g. degradation or loss of services; disclosure of sensitive information) are kept to a minimum.</v>
      </c>
      <c r="G48" s="85"/>
      <c r="H48" s="85"/>
      <c r="I48" s="72"/>
      <c r="J48" s="70"/>
      <c r="K48" s="70"/>
      <c r="L48" s="70"/>
      <c r="M48" s="70"/>
      <c r="N48" s="70"/>
      <c r="O48" s="70"/>
      <c r="P48" s="70"/>
      <c r="Q48" s="70"/>
      <c r="R48" s="70"/>
      <c r="S48" s="70"/>
      <c r="T48" s="78"/>
      <c r="U48" s="78"/>
      <c r="V48" s="78"/>
      <c r="W48" s="78"/>
      <c r="X48" s="78"/>
      <c r="AD48" s="86"/>
      <c r="AE48" s="86"/>
      <c r="AF48" s="86"/>
      <c r="AG48" s="79"/>
      <c r="AH48" s="86"/>
      <c r="AI48" s="79"/>
    </row>
    <row r="49" spans="1:35" s="77" customFormat="1" ht="45" x14ac:dyDescent="0.25">
      <c r="A49" s="68">
        <v>113</v>
      </c>
      <c r="B49" s="69" t="str">
        <f t="shared" ca="1" si="12"/>
        <v>B.4.04</v>
      </c>
      <c r="C49" s="70">
        <f t="shared" ca="1" si="13"/>
        <v>5</v>
      </c>
      <c r="D49" s="20"/>
      <c r="E49" s="91" t="str">
        <f t="shared" ca="1" si="14"/>
        <v>B.4.04</v>
      </c>
      <c r="F49" s="72" t="str">
        <f t="shared" ca="1" si="15"/>
        <v>Does your management assurance framework provide assurance to stakeholders that changes to the scope of tests – and any problems arising - are well managed?</v>
      </c>
      <c r="G49" s="195" t="str">
        <f ca="1">VLOOKUP($A49,Assess_B_Reference,15,FALSE)</f>
        <v/>
      </c>
      <c r="H49" s="195">
        <f ca="1">(VLOOKUP(LEFT($B49,3),Targets_Lookup,5,FALSE))*VLOOKUP($A49,Weightings_Assessments,23,FALSE)</f>
        <v>16</v>
      </c>
      <c r="I49" s="72" t="str">
        <f ca="1">IF(VLOOKUP(A49,Assess_B_Reference,16,FALSE)=0,"",VLOOKUP(A49,Assess_B_Reference,16,FALSE))</f>
        <v/>
      </c>
      <c r="J49" s="70"/>
      <c r="K49" s="70"/>
      <c r="L49" s="70"/>
      <c r="M49" s="70"/>
      <c r="N49" s="70"/>
      <c r="O49" s="70"/>
      <c r="P49" s="70"/>
      <c r="Q49" s="70"/>
      <c r="R49" s="70"/>
      <c r="S49" s="70"/>
      <c r="T49" s="78"/>
      <c r="U49" s="106" t="str">
        <f ca="1">IF(AND(C49&gt;4,VLOOKUP(A49,Assess_B_Reference,34,FALSE)&lt;&gt;8),LEFT(B49,3),"")</f>
        <v>B.4</v>
      </c>
      <c r="V49" s="106">
        <f ca="1">VLOOKUP(A49,Weightings_Assessments,24,FALSE)</f>
        <v>4</v>
      </c>
      <c r="W49" s="106">
        <f ca="1">IF(VLOOKUP(A49,Assess_B_Reference,34,FALSE)=8,0,1)</f>
        <v>1</v>
      </c>
      <c r="X49" s="106">
        <f ca="1">W49*V49*4</f>
        <v>16</v>
      </c>
      <c r="Y49" s="77" t="str">
        <f ca="1">AG49&amp;U49</f>
        <v>B.4</v>
      </c>
      <c r="AD49" s="86"/>
      <c r="AE49" s="86"/>
      <c r="AF49" s="86"/>
      <c r="AG49" s="79"/>
      <c r="AH49" s="86"/>
      <c r="AI49" s="79"/>
    </row>
    <row r="50" spans="1:35" s="77" customFormat="1" ht="120" x14ac:dyDescent="0.25">
      <c r="A50" s="68">
        <v>114</v>
      </c>
      <c r="B50" s="69" t="str">
        <f t="shared" ca="1" si="12"/>
        <v/>
      </c>
      <c r="C50" s="70">
        <f t="shared" ca="1" si="13"/>
        <v>3</v>
      </c>
      <c r="D50" s="20"/>
      <c r="E50" s="91" t="str">
        <f t="shared" ca="1" si="14"/>
        <v/>
      </c>
      <c r="F50" s="166" t="str">
        <f t="shared" ca="1" si="15"/>
        <v>The management assurance framework should provide assurance to stakeholders that any changes to the scope of penetration tests (e.g. additional testing requested, such as to include wireless or device testing) or to organisational controls (e.g. to address a critical weakness uncovered during testing) are managed quickly and efficiently; and that any problems (or complaints) arising during tests (e.g. due to resources not being made available, tests not working as planned or an ethical breach) are satisfactorily resolved.</v>
      </c>
      <c r="G50" s="85"/>
      <c r="H50" s="85"/>
      <c r="I50" s="72"/>
      <c r="J50" s="70"/>
      <c r="K50" s="70"/>
      <c r="L50" s="70"/>
      <c r="M50" s="70"/>
      <c r="N50" s="70"/>
      <c r="O50" s="70"/>
      <c r="P50" s="70"/>
      <c r="Q50" s="70"/>
      <c r="R50" s="70"/>
      <c r="S50" s="70"/>
      <c r="T50" s="78"/>
      <c r="U50" s="78"/>
      <c r="V50" s="78"/>
      <c r="W50" s="78"/>
      <c r="X50" s="78"/>
      <c r="AD50" s="86"/>
      <c r="AE50" s="86"/>
      <c r="AF50" s="86"/>
      <c r="AG50" s="79"/>
      <c r="AH50" s="86"/>
      <c r="AI50" s="79"/>
    </row>
    <row r="51" spans="1:35" s="77" customFormat="1" ht="30" customHeight="1" x14ac:dyDescent="0.25">
      <c r="A51" s="68">
        <v>115</v>
      </c>
      <c r="B51" s="69" t="str">
        <f t="shared" ca="1" si="12"/>
        <v>B.4.05</v>
      </c>
      <c r="C51" s="70">
        <f t="shared" ca="1" si="13"/>
        <v>5</v>
      </c>
      <c r="D51" s="20"/>
      <c r="E51" s="91" t="str">
        <f t="shared" ca="1" si="14"/>
        <v>B.4.05</v>
      </c>
      <c r="F51" s="72" t="str">
        <f t="shared" ca="1" si="15"/>
        <v>Have you established an assurance process to ensure that the penetration testing process meets requirements?</v>
      </c>
      <c r="G51" s="195" t="str">
        <f ca="1">VLOOKUP($A51,Assess_B_Reference,15,FALSE)</f>
        <v/>
      </c>
      <c r="H51" s="195">
        <f ca="1">(VLOOKUP(LEFT($B51,3),Targets_Lookup,5,FALSE))*VLOOKUP($A51,Weightings_Assessments,23,FALSE)</f>
        <v>4</v>
      </c>
      <c r="I51" s="72" t="str">
        <f ca="1">IF(VLOOKUP(A51,Assess_B_Reference,16,FALSE)=0,"",VLOOKUP(A51,Assess_B_Reference,16,FALSE))</f>
        <v/>
      </c>
      <c r="J51" s="70"/>
      <c r="K51" s="70"/>
      <c r="L51" s="70"/>
      <c r="M51" s="70"/>
      <c r="N51" s="70"/>
      <c r="O51" s="70"/>
      <c r="P51" s="70"/>
      <c r="Q51" s="70"/>
      <c r="R51" s="70"/>
      <c r="S51" s="70"/>
      <c r="T51" s="78"/>
      <c r="U51" s="106" t="str">
        <f ca="1">IF(AND(C51&gt;4,VLOOKUP(A51,Assess_B_Reference,34,FALSE)&lt;&gt;8),LEFT(B51,3),"")</f>
        <v>B.4</v>
      </c>
      <c r="V51" s="106">
        <f ca="1">VLOOKUP(A51,Weightings_Assessments,24,FALSE)</f>
        <v>1</v>
      </c>
      <c r="W51" s="106">
        <f ca="1">IF(VLOOKUP(A51,Assess_B_Reference,34,FALSE)=8,0,1)</f>
        <v>1</v>
      </c>
      <c r="X51" s="106">
        <f ca="1">W51*V51*4</f>
        <v>4</v>
      </c>
      <c r="Y51" s="77" t="str">
        <f ca="1">AG51&amp;U51</f>
        <v>B.4</v>
      </c>
      <c r="AD51" s="86"/>
      <c r="AE51" s="86"/>
      <c r="AF51" s="86"/>
      <c r="AG51" s="79"/>
      <c r="AH51" s="86"/>
      <c r="AI51" s="79"/>
    </row>
    <row r="52" spans="1:35" s="77" customFormat="1" ht="45" x14ac:dyDescent="0.25">
      <c r="A52" s="68">
        <v>116</v>
      </c>
      <c r="B52" s="69" t="str">
        <f t="shared" ca="1" si="12"/>
        <v>B.4.06</v>
      </c>
      <c r="C52" s="70">
        <f t="shared" ca="1" si="13"/>
        <v>5</v>
      </c>
      <c r="D52" s="20"/>
      <c r="E52" s="91" t="str">
        <f t="shared" ca="1" si="14"/>
        <v>B.4.06</v>
      </c>
      <c r="F52" s="72" t="str">
        <f t="shared" ca="1" si="15"/>
        <v>Does your assurance process define control processes over all important management aspects of testing, including test administration; test execution, and data security?</v>
      </c>
      <c r="G52" s="195" t="str">
        <f ca="1">VLOOKUP($A52,Assess_B_Reference,15,FALSE)</f>
        <v/>
      </c>
      <c r="H52" s="195">
        <f ca="1">(VLOOKUP(LEFT($B52,3),Targets_Lookup,5,FALSE))*VLOOKUP($A52,Weightings_Assessments,23,FALSE)</f>
        <v>20</v>
      </c>
      <c r="I52" s="72" t="str">
        <f ca="1">IF(VLOOKUP(A52,Assess_B_Reference,16,FALSE)=0,"",VLOOKUP(A52,Assess_B_Reference,16,FALSE))</f>
        <v/>
      </c>
      <c r="J52" s="70"/>
      <c r="K52" s="70"/>
      <c r="L52" s="70"/>
      <c r="M52" s="70"/>
      <c r="N52" s="70"/>
      <c r="O52" s="70"/>
      <c r="P52" s="70"/>
      <c r="Q52" s="70"/>
      <c r="R52" s="70"/>
      <c r="S52" s="70"/>
      <c r="T52" s="78"/>
      <c r="U52" s="106" t="str">
        <f ca="1">IF(AND(C52&gt;4,VLOOKUP(A52,Assess_B_Reference,34,FALSE)&lt;&gt;8),LEFT(B52,3),"")</f>
        <v>B.4</v>
      </c>
      <c r="V52" s="106">
        <f ca="1">VLOOKUP(A52,Weightings_Assessments,24,FALSE)</f>
        <v>5</v>
      </c>
      <c r="W52" s="106">
        <f ca="1">IF(VLOOKUP(A52,Assess_B_Reference,34,FALSE)=8,0,1)</f>
        <v>1</v>
      </c>
      <c r="X52" s="106">
        <f ca="1">W52*V52*4</f>
        <v>20</v>
      </c>
      <c r="Y52" s="77" t="str">
        <f ca="1">AG52&amp;U52</f>
        <v>B.4</v>
      </c>
      <c r="AD52" s="86"/>
      <c r="AE52" s="86"/>
      <c r="AF52" s="86"/>
      <c r="AG52" s="79"/>
      <c r="AH52" s="86"/>
      <c r="AI52" s="79"/>
    </row>
    <row r="53" spans="1:35" s="77" customFormat="1" ht="90" x14ac:dyDescent="0.25">
      <c r="A53" s="68">
        <v>117</v>
      </c>
      <c r="B53" s="69" t="str">
        <f t="shared" ca="1" si="12"/>
        <v/>
      </c>
      <c r="C53" s="70">
        <f t="shared" ca="1" si="13"/>
        <v>3</v>
      </c>
      <c r="D53" s="20"/>
      <c r="E53" s="91" t="str">
        <f t="shared" ca="1" si="14"/>
        <v/>
      </c>
      <c r="F53" s="166" t="str">
        <f t="shared" ca="1" si="15"/>
        <v>Test administration typically includes scope of tests, legal constraints, disclosure and reporting; test execution typically includes testing approach, separation of systems and duties, tool heritage, traceability and repeatability of tests; whilst data security typically includes secure storage, transmission, processing and destruction of critical or sensitive information provided or accessed during the test.</v>
      </c>
      <c r="G53" s="85"/>
      <c r="H53" s="85"/>
      <c r="I53" s="72"/>
      <c r="J53" s="70"/>
      <c r="K53" s="70"/>
      <c r="L53" s="70"/>
      <c r="M53" s="70"/>
      <c r="N53" s="70"/>
      <c r="O53" s="70"/>
      <c r="P53" s="70"/>
      <c r="Q53" s="70"/>
      <c r="R53" s="70"/>
      <c r="S53" s="70"/>
      <c r="T53" s="78"/>
      <c r="U53" s="78"/>
      <c r="V53" s="78"/>
      <c r="W53" s="78"/>
      <c r="X53" s="78"/>
      <c r="AD53" s="86"/>
      <c r="AE53" s="86"/>
      <c r="AF53" s="86"/>
      <c r="AG53" s="79"/>
      <c r="AH53" s="86"/>
      <c r="AI53" s="79"/>
    </row>
    <row r="54" spans="1:35" s="77" customFormat="1" ht="30" customHeight="1" x14ac:dyDescent="0.25">
      <c r="A54" s="68">
        <v>118</v>
      </c>
      <c r="B54" s="69" t="str">
        <f t="shared" ca="1" si="12"/>
        <v>B.4.07</v>
      </c>
      <c r="C54" s="70">
        <f t="shared" ca="1" si="13"/>
        <v>5</v>
      </c>
      <c r="D54" s="20"/>
      <c r="E54" s="91" t="str">
        <f t="shared" ca="1" si="14"/>
        <v>B.4.07</v>
      </c>
      <c r="F54" s="72" t="str">
        <f t="shared" ca="1" si="15"/>
        <v>Is the scope of your penetration tests documented in an agreement, defined in a legally binding contact and signed off by all relevant parties before testing starts</v>
      </c>
      <c r="G54" s="195" t="str">
        <f ca="1">VLOOKUP($A54,Assess_B_Reference,15,FALSE)</f>
        <v/>
      </c>
      <c r="H54" s="195">
        <f ca="1">(VLOOKUP(LEFT($B54,3),Targets_Lookup,5,FALSE))*VLOOKUP($A54,Weightings_Assessments,23,FALSE)</f>
        <v>4</v>
      </c>
      <c r="I54" s="72" t="str">
        <f ca="1">IF(VLOOKUP(A54,Assess_B_Reference,16,FALSE)=0,"",VLOOKUP(A54,Assess_B_Reference,16,FALSE))</f>
        <v/>
      </c>
      <c r="J54" s="70"/>
      <c r="K54" s="70"/>
      <c r="L54" s="70"/>
      <c r="M54" s="70"/>
      <c r="N54" s="70"/>
      <c r="O54" s="70"/>
      <c r="P54" s="70"/>
      <c r="Q54" s="70"/>
      <c r="R54" s="70"/>
      <c r="S54" s="70"/>
      <c r="T54" s="78"/>
      <c r="U54" s="106" t="str">
        <f ca="1">IF(AND(C54&gt;4,VLOOKUP(A54,Assess_B_Reference,34,FALSE)&lt;&gt;8),LEFT(B54,3),"")</f>
        <v>B.4</v>
      </c>
      <c r="V54" s="106">
        <f ca="1">VLOOKUP(A54,Weightings_Assessments,24,FALSE)</f>
        <v>1</v>
      </c>
      <c r="W54" s="106">
        <f ca="1">IF(VLOOKUP(A54,Assess_B_Reference,34,FALSE)=8,0,1)</f>
        <v>1</v>
      </c>
      <c r="X54" s="106">
        <f ca="1">W54*V54*4</f>
        <v>4</v>
      </c>
      <c r="Y54" s="77" t="str">
        <f ca="1">AG54&amp;U54</f>
        <v>B.4</v>
      </c>
      <c r="AD54" s="86"/>
      <c r="AE54" s="86"/>
      <c r="AF54" s="86"/>
      <c r="AG54" s="79"/>
      <c r="AH54" s="86"/>
      <c r="AI54" s="79"/>
    </row>
    <row r="55" spans="1:35" s="77" customFormat="1" ht="90" x14ac:dyDescent="0.25">
      <c r="A55" s="68">
        <v>119</v>
      </c>
      <c r="B55" s="69" t="str">
        <f t="shared" ca="1" si="12"/>
        <v/>
      </c>
      <c r="C55" s="70">
        <f t="shared" ca="1" si="13"/>
        <v>3</v>
      </c>
      <c r="D55" s="20"/>
      <c r="E55" s="91" t="str">
        <f t="shared" ca="1" si="14"/>
        <v/>
      </c>
      <c r="F55" s="166" t="str">
        <f t="shared" ca="1" si="15"/>
        <v>Penetration testing contracts should specify explicit exclusions (e.g. systems that are out of scope); any technical and operational constraints; roles and responsibilities for all parties’ concerned; and specific legal, regulatory and operational requirements (e.g., timings and checkpoints; a problem escalation process and post-test corrective action strategy).</v>
      </c>
      <c r="G55" s="85"/>
      <c r="H55" s="85"/>
      <c r="I55" s="72"/>
      <c r="J55" s="70"/>
      <c r="K55" s="70"/>
      <c r="L55" s="70"/>
      <c r="M55" s="70"/>
      <c r="N55" s="70"/>
      <c r="O55" s="70"/>
      <c r="P55" s="70"/>
      <c r="Q55" s="70"/>
      <c r="R55" s="70"/>
      <c r="S55" s="70"/>
      <c r="T55" s="78"/>
      <c r="U55" s="78"/>
      <c r="V55" s="78"/>
      <c r="W55" s="78"/>
      <c r="X55" s="78"/>
      <c r="AD55" s="86"/>
      <c r="AE55" s="86"/>
      <c r="AF55" s="86"/>
      <c r="AG55" s="79"/>
      <c r="AH55" s="86"/>
      <c r="AI55" s="79"/>
    </row>
    <row r="56" spans="1:35" s="77" customFormat="1" ht="30" customHeight="1" x14ac:dyDescent="0.25">
      <c r="A56" s="68">
        <v>120</v>
      </c>
      <c r="B56" s="69" t="str">
        <f t="shared" ca="1" si="12"/>
        <v>B.5</v>
      </c>
      <c r="C56" s="70">
        <f t="shared" ca="1" si="13"/>
        <v>2</v>
      </c>
      <c r="D56" s="20"/>
      <c r="E56" s="111" t="str">
        <f t="shared" ca="1" si="14"/>
        <v>Step 5</v>
      </c>
      <c r="F56" s="108" t="str">
        <f t="shared" ca="1" si="15"/>
        <v>Implement management control processes</v>
      </c>
      <c r="G56" s="193" t="str">
        <f ca="1">"Maturity level:  "&amp;O56</f>
        <v>Maturity level:  Level 1</v>
      </c>
      <c r="H56" s="194"/>
      <c r="I56" s="172"/>
      <c r="J56" s="107"/>
      <c r="K56" s="107"/>
      <c r="L56" s="107" t="str">
        <f ca="1">TEXT(B56,"0.0")</f>
        <v>B.5</v>
      </c>
      <c r="M56" s="106">
        <f ca="1">SUMIF(Y:Y,L56,G:G)/(SUMIF(Y:Y,L56,X:X))</f>
        <v>0</v>
      </c>
      <c r="N56" s="106" t="str">
        <f ca="1">HLOOKUP(M56*100,level_ref,2,TRUE)</f>
        <v>Level 1</v>
      </c>
      <c r="O56" s="106" t="str">
        <f ca="1">IF(ISERROR(N56),"",N56)</f>
        <v>Level 1</v>
      </c>
      <c r="P56" s="106">
        <f ca="1">HLOOKUP(M56*100,level_ref,3,TRUE)</f>
        <v>1</v>
      </c>
      <c r="Q56" s="106">
        <f ca="1">IF(ISERROR(P56),"",P56)</f>
        <v>1</v>
      </c>
      <c r="R56" s="106">
        <f ca="1">M56*5</f>
        <v>0</v>
      </c>
      <c r="S56" s="106"/>
      <c r="T56" s="106"/>
      <c r="U56" s="106" t="str">
        <f ca="1">IF(AND(C56&gt;4,VLOOKUP(A56,Assess_B_Reference,34,FALSE)&lt;&gt;8),LEFT(B56,3),"")</f>
        <v/>
      </c>
      <c r="V56" s="106">
        <f ca="1">VLOOKUP(A56,Weightings_Assessments,24,FALSE)</f>
        <v>0</v>
      </c>
      <c r="W56" s="106">
        <f ca="1">IF(VLOOKUP(A56,Assess_B_Reference,34,FALSE)=8,0,1)</f>
        <v>1</v>
      </c>
      <c r="X56" s="106">
        <f ca="1">W56*V56*4</f>
        <v>0</v>
      </c>
      <c r="Y56" s="77" t="str">
        <f ca="1">AG56&amp;U56</f>
        <v/>
      </c>
      <c r="AD56" s="86"/>
      <c r="AE56" s="86"/>
      <c r="AF56" s="86"/>
      <c r="AG56" s="79"/>
      <c r="AH56" s="86"/>
      <c r="AI56" s="79"/>
    </row>
    <row r="57" spans="1:35" s="77" customFormat="1" ht="60" x14ac:dyDescent="0.25">
      <c r="A57" s="68">
        <v>121</v>
      </c>
      <c r="B57" s="69" t="str">
        <f t="shared" ca="1" si="12"/>
        <v>B.5.01</v>
      </c>
      <c r="C57" s="70">
        <f t="shared" ca="1" si="13"/>
        <v>5</v>
      </c>
      <c r="D57" s="20"/>
      <c r="E57" s="91" t="str">
        <f t="shared" ca="1" si="14"/>
        <v>B.5.01</v>
      </c>
      <c r="F57" s="72" t="str">
        <f t="shared" ca="1" si="15"/>
        <v>Is your organisation aware that performing any sort of penetration test carries with it some risk to the target system and the business information associated with it (e.g. degradation or loss of services; disclosure of sensitive information)?</v>
      </c>
      <c r="G57" s="195" t="str">
        <f ca="1">VLOOKUP($A57,Assess_B_Reference,15,FALSE)</f>
        <v/>
      </c>
      <c r="H57" s="195">
        <f ca="1">(VLOOKUP(LEFT($B57,3),Targets_Lookup,5,FALSE))*VLOOKUP($A57,Weightings_Assessments,23,FALSE)</f>
        <v>4</v>
      </c>
      <c r="I57" s="72" t="str">
        <f ca="1">IF(VLOOKUP(A57,Assess_B_Reference,16,FALSE)=0,"",VLOOKUP(A57,Assess_B_Reference,16,FALSE))</f>
        <v/>
      </c>
      <c r="J57" s="70"/>
      <c r="K57" s="70"/>
      <c r="L57" s="70"/>
      <c r="M57" s="70"/>
      <c r="N57" s="70"/>
      <c r="O57" s="70"/>
      <c r="P57" s="70"/>
      <c r="Q57" s="70"/>
      <c r="R57" s="70"/>
      <c r="S57" s="70"/>
      <c r="T57" s="78"/>
      <c r="U57" s="106" t="str">
        <f ca="1">IF(AND(C57&gt;4,VLOOKUP(A57,Assess_B_Reference,34,FALSE)&lt;&gt;8),LEFT(B57,3),"")</f>
        <v>B.5</v>
      </c>
      <c r="V57" s="106">
        <f ca="1">VLOOKUP(A57,Weightings_Assessments,24,FALSE)</f>
        <v>1</v>
      </c>
      <c r="W57" s="106">
        <f ca="1">IF(VLOOKUP(A57,Assess_B_Reference,34,FALSE)=8,0,1)</f>
        <v>1</v>
      </c>
      <c r="X57" s="106">
        <f ca="1">W57*V57*4</f>
        <v>4</v>
      </c>
      <c r="Y57" s="77" t="str">
        <f ca="1">AG57&amp;U57</f>
        <v>B.5</v>
      </c>
      <c r="AD57" s="86"/>
      <c r="AE57" s="86"/>
      <c r="AF57" s="86"/>
      <c r="AG57" s="79"/>
      <c r="AH57" s="86"/>
      <c r="AI57" s="79"/>
    </row>
    <row r="58" spans="1:35" s="77" customFormat="1" ht="30" customHeight="1" x14ac:dyDescent="0.25">
      <c r="A58" s="68">
        <v>122</v>
      </c>
      <c r="B58" s="69" t="str">
        <f t="shared" ca="1" si="12"/>
        <v>B.5.02</v>
      </c>
      <c r="C58" s="70">
        <f t="shared" ca="1" si="13"/>
        <v>5</v>
      </c>
      <c r="D58" s="20"/>
      <c r="E58" s="91" t="str">
        <f t="shared" ca="1" si="14"/>
        <v>B.5.02</v>
      </c>
      <c r="F58" s="72" t="str">
        <f t="shared" ca="1" si="15"/>
        <v>Have you developed methods of keeping risks to your organisation to a minimum?</v>
      </c>
      <c r="G58" s="195" t="str">
        <f ca="1">VLOOKUP($A58,Assess_B_Reference,15,FALSE)</f>
        <v/>
      </c>
      <c r="H58" s="195">
        <f ca="1">(VLOOKUP(LEFT($B58,3),Targets_Lookup,5,FALSE))*VLOOKUP($A58,Weightings_Assessments,23,FALSE)</f>
        <v>16</v>
      </c>
      <c r="I58" s="72" t="str">
        <f ca="1">IF(VLOOKUP(A58,Assess_B_Reference,16,FALSE)=0,"",VLOOKUP(A58,Assess_B_Reference,16,FALSE))</f>
        <v/>
      </c>
      <c r="J58" s="70"/>
      <c r="K58" s="70"/>
      <c r="L58" s="70"/>
      <c r="M58" s="70"/>
      <c r="N58" s="70"/>
      <c r="O58" s="70"/>
      <c r="P58" s="70"/>
      <c r="Q58" s="70"/>
      <c r="R58" s="70"/>
      <c r="S58" s="70"/>
      <c r="T58" s="78"/>
      <c r="U58" s="106" t="str">
        <f ca="1">IF(AND(C58&gt;4,VLOOKUP(A58,Assess_B_Reference,34,FALSE)&lt;&gt;8),LEFT(B58,3),"")</f>
        <v>B.5</v>
      </c>
      <c r="V58" s="106">
        <f ca="1">VLOOKUP(A58,Weightings_Assessments,24,FALSE)</f>
        <v>4</v>
      </c>
      <c r="W58" s="106">
        <f ca="1">IF(VLOOKUP(A58,Assess_B_Reference,34,FALSE)=8,0,1)</f>
        <v>1</v>
      </c>
      <c r="X58" s="106">
        <f ca="1">W58*V58*4</f>
        <v>16</v>
      </c>
      <c r="Y58" s="77" t="str">
        <f ca="1">AG58&amp;U58</f>
        <v>B.5</v>
      </c>
      <c r="AD58" s="86"/>
      <c r="AE58" s="86"/>
      <c r="AF58" s="86"/>
      <c r="AG58" s="79"/>
      <c r="AH58" s="86"/>
      <c r="AI58" s="79"/>
    </row>
    <row r="59" spans="1:35" s="77" customFormat="1" ht="47.25" customHeight="1" x14ac:dyDescent="0.25">
      <c r="A59" s="68">
        <v>123</v>
      </c>
      <c r="B59" s="69" t="str">
        <f t="shared" ca="1" si="12"/>
        <v/>
      </c>
      <c r="C59" s="70">
        <f t="shared" ca="1" si="13"/>
        <v>3</v>
      </c>
      <c r="D59" s="20"/>
      <c r="E59" s="91" t="str">
        <f t="shared" ca="1" si="14"/>
        <v/>
      </c>
      <c r="F59" s="166" t="str">
        <f t="shared" ca="1" si="15"/>
        <v>You can help to reduce risk associated with penetration testing by carrying out planning in advance; having a clear definition of scope; using predefined escalation procedures; supported by qualified testing individuals and certified organisations.</v>
      </c>
      <c r="G59" s="85"/>
      <c r="H59" s="85"/>
      <c r="I59" s="72"/>
      <c r="J59" s="70"/>
      <c r="K59" s="70"/>
      <c r="L59" s="70"/>
      <c r="M59" s="70"/>
      <c r="N59" s="70"/>
      <c r="O59" s="70"/>
      <c r="P59" s="70"/>
      <c r="Q59" s="70"/>
      <c r="R59" s="70"/>
      <c r="S59" s="70"/>
      <c r="T59" s="78"/>
      <c r="U59" s="78"/>
      <c r="V59" s="78"/>
      <c r="W59" s="78"/>
      <c r="X59" s="78"/>
      <c r="AD59" s="86"/>
      <c r="AE59" s="86"/>
      <c r="AF59" s="86"/>
      <c r="AG59" s="79"/>
      <c r="AH59" s="86"/>
      <c r="AI59" s="79"/>
    </row>
    <row r="60" spans="1:35" s="77" customFormat="1" ht="75" x14ac:dyDescent="0.25">
      <c r="A60" s="68">
        <v>124</v>
      </c>
      <c r="B60" s="69" t="str">
        <f t="shared" ca="1" si="12"/>
        <v>B.5.03</v>
      </c>
      <c r="C60" s="70">
        <f t="shared" ca="1" si="13"/>
        <v>5</v>
      </c>
      <c r="D60" s="20"/>
      <c r="E60" s="91" t="str">
        <f t="shared" ca="1" si="14"/>
        <v>B.5.03</v>
      </c>
      <c r="F60" s="72" t="str">
        <f t="shared" ca="1" si="15"/>
        <v>When conducting penetration tests, do you ensure that those individuals responsible for the running of the target systems have full knowledge of the tests to help protect against unexpected business consequences, such an inadvertent trigger of internal controls; and are aware of – and adhere to - any escalation procedures?</v>
      </c>
      <c r="G60" s="195" t="str">
        <f ca="1">VLOOKUP($A60,Assess_B_Reference,15,FALSE)</f>
        <v/>
      </c>
      <c r="H60" s="195">
        <f ca="1">(VLOOKUP(LEFT($B60,3),Targets_Lookup,5,FALSE))*VLOOKUP($A60,Weightings_Assessments,23,FALSE)</f>
        <v>12</v>
      </c>
      <c r="I60" s="72" t="str">
        <f ca="1">IF(VLOOKUP(A60,Assess_B_Reference,16,FALSE)=0,"",VLOOKUP(A60,Assess_B_Reference,16,FALSE))</f>
        <v/>
      </c>
      <c r="J60" s="70"/>
      <c r="K60" s="70"/>
      <c r="L60" s="70"/>
      <c r="M60" s="70"/>
      <c r="N60" s="70"/>
      <c r="O60" s="70"/>
      <c r="P60" s="70"/>
      <c r="Q60" s="70"/>
      <c r="R60" s="70"/>
      <c r="S60" s="70"/>
      <c r="T60" s="78"/>
      <c r="U60" s="106" t="str">
        <f ca="1">IF(AND(C60&gt;4,VLOOKUP(A60,Assess_B_Reference,34,FALSE)&lt;&gt;8),LEFT(B60,3),"")</f>
        <v>B.5</v>
      </c>
      <c r="V60" s="106">
        <f ca="1">VLOOKUP(A60,Weightings_Assessments,24,FALSE)</f>
        <v>3</v>
      </c>
      <c r="W60" s="106">
        <f ca="1">IF(VLOOKUP(A60,Assess_B_Reference,34,FALSE)=8,0,1)</f>
        <v>1</v>
      </c>
      <c r="X60" s="106">
        <f t="shared" ref="X60:X66" ca="1" si="21">W60*V60*4</f>
        <v>12</v>
      </c>
      <c r="Y60" s="77" t="str">
        <f t="shared" ref="Y60:Y66" ca="1" si="22">AG60&amp;U60</f>
        <v>B.5</v>
      </c>
      <c r="AD60" s="86"/>
      <c r="AE60" s="86"/>
      <c r="AF60" s="86"/>
      <c r="AG60" s="79"/>
      <c r="AH60" s="86"/>
      <c r="AI60" s="79"/>
    </row>
    <row r="61" spans="1:35" s="77" customFormat="1" ht="60" x14ac:dyDescent="0.25">
      <c r="A61" s="68">
        <v>125</v>
      </c>
      <c r="B61" s="69" t="str">
        <f t="shared" ca="1" si="12"/>
        <v>B.5.04</v>
      </c>
      <c r="C61" s="70">
        <f t="shared" ca="1" si="13"/>
        <v>5</v>
      </c>
      <c r="D61" s="20"/>
      <c r="E61" s="91" t="str">
        <f t="shared" ca="1" si="14"/>
        <v>B.5.04</v>
      </c>
      <c r="F61" s="72" t="str">
        <f t="shared" ca="1" si="15"/>
        <v>Are individuals responsible for the running of the target systems available, as required, during the test period to help: ensure that testing takes place as agreed; keep risks within acceptable boundaries; deal with any problems arising; and manage issues that have been escalated?</v>
      </c>
      <c r="G61" s="195" t="str">
        <f ca="1">VLOOKUP($A61,Assess_B_Reference,15,FALSE)</f>
        <v/>
      </c>
      <c r="H61" s="195">
        <f ca="1">(VLOOKUP(LEFT($B61,3),Targets_Lookup,5,FALSE))*VLOOKUP($A61,Weightings_Assessments,23,FALSE)</f>
        <v>12</v>
      </c>
      <c r="I61" s="72" t="str">
        <f ca="1">IF(VLOOKUP(A61,Assess_B_Reference,16,FALSE)=0,"",VLOOKUP(A61,Assess_B_Reference,16,FALSE))</f>
        <v/>
      </c>
      <c r="J61" s="70"/>
      <c r="K61" s="70"/>
      <c r="L61" s="70"/>
      <c r="M61" s="70"/>
      <c r="N61" s="70"/>
      <c r="O61" s="70"/>
      <c r="P61" s="70"/>
      <c r="Q61" s="70"/>
      <c r="R61" s="70"/>
      <c r="S61" s="70"/>
      <c r="T61" s="78"/>
      <c r="U61" s="106" t="str">
        <f ca="1">IF(AND(C61&gt;4,VLOOKUP(A61,Assess_B_Reference,34,FALSE)&lt;&gt;8),LEFT(B61,3),"")</f>
        <v>B.5</v>
      </c>
      <c r="V61" s="106">
        <f ca="1">VLOOKUP(A61,Weightings_Assessments,24,FALSE)</f>
        <v>3</v>
      </c>
      <c r="W61" s="106">
        <f ca="1">IF(VLOOKUP(A61,Assess_B_Reference,34,FALSE)=8,0,1)</f>
        <v>1</v>
      </c>
      <c r="X61" s="106">
        <f t="shared" ca="1" si="21"/>
        <v>12</v>
      </c>
      <c r="Y61" s="77" t="str">
        <f t="shared" ca="1" si="22"/>
        <v>B.5</v>
      </c>
      <c r="AD61" s="86"/>
      <c r="AE61" s="86"/>
      <c r="AF61" s="86"/>
      <c r="AG61" s="79"/>
      <c r="AH61" s="86"/>
      <c r="AI61" s="79"/>
    </row>
    <row r="62" spans="1:35" s="77" customFormat="1" ht="30" customHeight="1" x14ac:dyDescent="0.25">
      <c r="A62" s="68">
        <v>126</v>
      </c>
      <c r="B62" s="69" t="str">
        <f t="shared" ca="1" si="12"/>
        <v>B.5.05</v>
      </c>
      <c r="C62" s="70">
        <f t="shared" ca="1" si="13"/>
        <v>5</v>
      </c>
      <c r="D62" s="20"/>
      <c r="E62" s="91" t="str">
        <f t="shared" ca="1" si="14"/>
        <v>B.5.05</v>
      </c>
      <c r="F62" s="72" t="str">
        <f t="shared" ca="1" si="15"/>
        <v>Is your penetration testing supported by a change management process?</v>
      </c>
      <c r="G62" s="195" t="str">
        <f ca="1">VLOOKUP($A62,Assess_B_Reference,15,FALSE)</f>
        <v/>
      </c>
      <c r="H62" s="195">
        <f ca="1">(VLOOKUP(LEFT($B62,3),Targets_Lookup,5,FALSE))*VLOOKUP($A62,Weightings_Assessments,23,FALSE)</f>
        <v>8</v>
      </c>
      <c r="I62" s="72" t="str">
        <f ca="1">IF(VLOOKUP(A62,Assess_B_Reference,16,FALSE)=0,"",VLOOKUP(A62,Assess_B_Reference,16,FALSE))</f>
        <v/>
      </c>
      <c r="J62" s="70"/>
      <c r="K62" s="70"/>
      <c r="L62" s="70"/>
      <c r="M62" s="70"/>
      <c r="N62" s="70"/>
      <c r="O62" s="70"/>
      <c r="P62" s="70"/>
      <c r="Q62" s="70"/>
      <c r="R62" s="70"/>
      <c r="S62" s="70"/>
      <c r="T62" s="78"/>
      <c r="U62" s="106" t="str">
        <f ca="1">IF(AND(C62&gt;4,VLOOKUP(A62,Assess_B_Reference,34,FALSE)&lt;&gt;8),LEFT(B62,3),"")</f>
        <v>B.5</v>
      </c>
      <c r="V62" s="106">
        <f ca="1">VLOOKUP(A62,Weightings_Assessments,24,FALSE)</f>
        <v>2</v>
      </c>
      <c r="W62" s="106">
        <f ca="1">IF(VLOOKUP(A62,Assess_B_Reference,34,FALSE)=8,0,1)</f>
        <v>1</v>
      </c>
      <c r="X62" s="106">
        <f t="shared" ca="1" si="21"/>
        <v>8</v>
      </c>
      <c r="Y62" s="77" t="str">
        <f t="shared" ca="1" si="22"/>
        <v>B.5</v>
      </c>
      <c r="AD62" s="86"/>
      <c r="AE62" s="86"/>
      <c r="AF62" s="86"/>
      <c r="AG62" s="79"/>
      <c r="AH62" s="86"/>
      <c r="AI62" s="79"/>
    </row>
    <row r="63" spans="1:35" s="77" customFormat="1" ht="75" x14ac:dyDescent="0.25">
      <c r="A63" s="68">
        <v>127</v>
      </c>
      <c r="B63" s="69" t="str">
        <f t="shared" ca="1" si="12"/>
        <v/>
      </c>
      <c r="C63" s="70">
        <f t="shared" ca="1" si="13"/>
        <v>3</v>
      </c>
      <c r="D63" s="20"/>
      <c r="E63" s="91" t="str">
        <f t="shared" ca="1" si="14"/>
        <v/>
      </c>
      <c r="F63" s="166" t="str">
        <f t="shared" ca="1" si="15"/>
        <v>An effective change management process should cover changes to the scope of the penetration test, organisational controls and the individuals on the testing team; as well as ensuring that all parties involved adhere to the process and that changes to penetration testing are made quickly and efficiently.</v>
      </c>
      <c r="G63" s="85"/>
      <c r="H63" s="85"/>
      <c r="I63" s="72"/>
      <c r="J63" s="70"/>
      <c r="K63" s="70"/>
      <c r="L63" s="70"/>
      <c r="M63" s="70"/>
      <c r="N63" s="70"/>
      <c r="O63" s="70"/>
      <c r="P63" s="70"/>
      <c r="Q63" s="70"/>
      <c r="R63" s="70"/>
      <c r="S63" s="70"/>
      <c r="T63" s="78"/>
      <c r="U63" s="78"/>
      <c r="V63" s="78"/>
      <c r="W63" s="78"/>
      <c r="X63" s="78"/>
      <c r="AD63" s="86"/>
      <c r="AE63" s="86"/>
      <c r="AF63" s="86"/>
      <c r="AG63" s="79"/>
      <c r="AH63" s="86"/>
      <c r="AI63" s="79"/>
    </row>
    <row r="64" spans="1:35" s="77" customFormat="1" ht="30" x14ac:dyDescent="0.25">
      <c r="A64" s="68">
        <v>128</v>
      </c>
      <c r="B64" s="69" t="str">
        <f t="shared" ca="1" si="12"/>
        <v>B.5.06</v>
      </c>
      <c r="C64" s="70">
        <f t="shared" ca="1" si="13"/>
        <v>5</v>
      </c>
      <c r="D64" s="20"/>
      <c r="E64" s="91" t="str">
        <f t="shared" ca="1" si="14"/>
        <v>B.5.06</v>
      </c>
      <c r="F64" s="72" t="str">
        <f t="shared" ca="1" si="15"/>
        <v>Is your penetration testing supported by an effective problem resolution process?</v>
      </c>
      <c r="G64" s="195" t="str">
        <f ca="1">VLOOKUP($A64,Assess_B_Reference,15,FALSE)</f>
        <v/>
      </c>
      <c r="H64" s="195">
        <f ca="1">(VLOOKUP(LEFT($B64,3),Targets_Lookup,5,FALSE))*VLOOKUP($A64,Weightings_Assessments,23,FALSE)</f>
        <v>12</v>
      </c>
      <c r="I64" s="72" t="str">
        <f ca="1">IF(VLOOKUP(A64,Assess_B_Reference,16,FALSE)=0,"",VLOOKUP(A64,Assess_B_Reference,16,FALSE))</f>
        <v/>
      </c>
      <c r="J64" s="70"/>
      <c r="K64" s="70"/>
      <c r="L64" s="70"/>
      <c r="M64" s="70"/>
      <c r="N64" s="70"/>
      <c r="O64" s="70"/>
      <c r="P64" s="70"/>
      <c r="Q64" s="70"/>
      <c r="R64" s="70"/>
      <c r="S64" s="70"/>
      <c r="T64" s="78"/>
      <c r="U64" s="106" t="str">
        <f ca="1">IF(AND(C64&gt;4,VLOOKUP(A64,Assess_B_Reference,34,FALSE)&lt;&gt;8),LEFT(B64,3),"")</f>
        <v>B.5</v>
      </c>
      <c r="V64" s="106">
        <f ca="1">VLOOKUP(A64,Weightings_Assessments,24,FALSE)</f>
        <v>3</v>
      </c>
      <c r="W64" s="106">
        <f ca="1">IF(VLOOKUP(A64,Assess_B_Reference,34,FALSE)=8,0,1)</f>
        <v>1</v>
      </c>
      <c r="X64" s="106">
        <f t="shared" ca="1" si="21"/>
        <v>12</v>
      </c>
      <c r="Y64" s="77" t="str">
        <f t="shared" ca="1" si="22"/>
        <v>B.5</v>
      </c>
      <c r="AD64" s="86"/>
      <c r="AE64" s="86"/>
      <c r="AF64" s="86"/>
      <c r="AG64" s="79"/>
      <c r="AH64" s="86"/>
      <c r="AI64" s="79"/>
    </row>
    <row r="65" spans="1:35" s="77" customFormat="1" ht="122.25" customHeight="1" x14ac:dyDescent="0.25">
      <c r="A65" s="68">
        <v>129</v>
      </c>
      <c r="B65" s="69" t="str">
        <f t="shared" ca="1" si="12"/>
        <v/>
      </c>
      <c r="C65" s="70">
        <f t="shared" ca="1" si="13"/>
        <v>3</v>
      </c>
      <c r="D65" s="20"/>
      <c r="E65" s="91" t="str">
        <f t="shared" ca="1" si="14"/>
        <v/>
      </c>
      <c r="F65" s="166" t="str">
        <f t="shared" ca="1" si="15"/>
        <v>An effective problem resolution process should cover tests not working as planned and resources not being made available; as well as problems caused as a result of the penetration testing, which can include: interruptions to or degradation of live systems; unauthorised disclosure of confidential information; and compromise of the integrity of information (e.g. affecting the accuracy or timeliness of information).
The problem resolution process should also include breaches of: contract; specifications in the scope statement; and a relevant code of conduct.</v>
      </c>
      <c r="G65" s="85"/>
      <c r="H65" s="85"/>
      <c r="I65" s="72"/>
      <c r="J65" s="70"/>
      <c r="K65" s="70"/>
      <c r="L65" s="70"/>
      <c r="M65" s="70"/>
      <c r="N65" s="70"/>
      <c r="O65" s="70"/>
      <c r="P65" s="70"/>
      <c r="Q65" s="70"/>
      <c r="R65" s="70"/>
      <c r="S65" s="70"/>
      <c r="T65" s="78"/>
      <c r="U65" s="78"/>
      <c r="V65" s="78"/>
      <c r="W65" s="78"/>
      <c r="X65" s="78"/>
      <c r="AD65" s="86"/>
      <c r="AE65" s="86"/>
      <c r="AF65" s="86"/>
      <c r="AG65" s="79"/>
      <c r="AH65" s="86"/>
      <c r="AI65" s="79"/>
    </row>
    <row r="66" spans="1:35" s="77" customFormat="1" ht="30" customHeight="1" x14ac:dyDescent="0.25">
      <c r="A66" s="68">
        <v>130</v>
      </c>
      <c r="B66" s="69" t="str">
        <f t="shared" ca="1" si="12"/>
        <v>B.5.07</v>
      </c>
      <c r="C66" s="70">
        <f t="shared" ca="1" si="13"/>
        <v>5</v>
      </c>
      <c r="D66" s="20"/>
      <c r="E66" s="91" t="str">
        <f t="shared" ca="1" si="14"/>
        <v>B.5.07</v>
      </c>
      <c r="F66" s="72" t="str">
        <f t="shared" ca="1" si="15"/>
        <v>Are problems arising during penetration testing resolved in an effective, timely manner in accordance with your problem management process?</v>
      </c>
      <c r="G66" s="195" t="str">
        <f ca="1">VLOOKUP($A66,Assess_B_Reference,15,FALSE)</f>
        <v/>
      </c>
      <c r="H66" s="195">
        <f ca="1">(VLOOKUP(LEFT($B66,3),Targets_Lookup,5,FALSE))*VLOOKUP($A66,Weightings_Assessments,23,FALSE)</f>
        <v>16</v>
      </c>
      <c r="I66" s="72" t="str">
        <f ca="1">IF(VLOOKUP(A66,Assess_B_Reference,16,FALSE)=0,"",VLOOKUP(A66,Assess_B_Reference,16,FALSE))</f>
        <v/>
      </c>
      <c r="J66" s="70"/>
      <c r="K66" s="70"/>
      <c r="L66" s="70"/>
      <c r="M66" s="70"/>
      <c r="N66" s="70"/>
      <c r="O66" s="70"/>
      <c r="P66" s="70"/>
      <c r="Q66" s="70"/>
      <c r="R66" s="70"/>
      <c r="S66" s="70"/>
      <c r="T66" s="78"/>
      <c r="U66" s="106" t="str">
        <f ca="1">IF(AND(C66&gt;4,VLOOKUP(A66,Assess_B_Reference,34,FALSE)&lt;&gt;8),LEFT(B66,3),"")</f>
        <v>B.5</v>
      </c>
      <c r="V66" s="106">
        <f ca="1">VLOOKUP(A66,Weightings_Assessments,24,FALSE)</f>
        <v>2</v>
      </c>
      <c r="W66" s="106">
        <f ca="1">IF(VLOOKUP(A66,Assess_B_Reference,34,FALSE)=8,0,1)</f>
        <v>1</v>
      </c>
      <c r="X66" s="106">
        <f t="shared" ca="1" si="21"/>
        <v>8</v>
      </c>
      <c r="Y66" s="77" t="str">
        <f t="shared" ca="1" si="22"/>
        <v>B.5</v>
      </c>
      <c r="AD66" s="86"/>
      <c r="AE66" s="86"/>
      <c r="AF66" s="86"/>
      <c r="AG66" s="79"/>
      <c r="AH66" s="86"/>
      <c r="AI66" s="79"/>
    </row>
    <row r="67" spans="1:35" s="77" customFormat="1" ht="30" customHeight="1" x14ac:dyDescent="0.25">
      <c r="A67" s="68">
        <v>135</v>
      </c>
      <c r="B67" s="69" t="str">
        <f t="shared" ca="1" si="12"/>
        <v>B.6</v>
      </c>
      <c r="C67" s="70">
        <f t="shared" ca="1" si="13"/>
        <v>2</v>
      </c>
      <c r="D67" s="20"/>
      <c r="E67" s="111" t="str">
        <f t="shared" ca="1" si="14"/>
        <v>Step 6</v>
      </c>
      <c r="F67" s="108" t="str">
        <f t="shared" ca="1" si="15"/>
        <v>Use an effective testing methodology</v>
      </c>
      <c r="G67" s="193" t="str">
        <f ca="1">"Maturity level:  "&amp;O67</f>
        <v>Maturity level:  Level 1</v>
      </c>
      <c r="H67" s="194"/>
      <c r="I67" s="172"/>
      <c r="J67" s="107"/>
      <c r="K67" s="107"/>
      <c r="L67" s="107" t="str">
        <f ca="1">TEXT(B67,"0.0")</f>
        <v>B.6</v>
      </c>
      <c r="M67" s="106">
        <f ca="1">SUMIF(Y:Y,L67,G:G)/(SUMIF(Y:Y,L67,X:X))</f>
        <v>0</v>
      </c>
      <c r="N67" s="106" t="str">
        <f ca="1">HLOOKUP(M67*100,level_ref,2,TRUE)</f>
        <v>Level 1</v>
      </c>
      <c r="O67" s="106" t="str">
        <f ca="1">IF(ISERROR(N67),"",N67)</f>
        <v>Level 1</v>
      </c>
      <c r="P67" s="106">
        <f ca="1">HLOOKUP(M67*100,level_ref,3,TRUE)</f>
        <v>1</v>
      </c>
      <c r="Q67" s="106">
        <f ca="1">IF(ISERROR(P67),"",P67)</f>
        <v>1</v>
      </c>
      <c r="R67" s="106">
        <f ca="1">M67*5</f>
        <v>0</v>
      </c>
      <c r="S67" s="106"/>
      <c r="T67" s="106"/>
      <c r="U67" s="106" t="str">
        <f ca="1">IF(AND(C67&gt;4,VLOOKUP(A67,Assess_B_Reference,34,FALSE)&lt;&gt;8),LEFT(B67,3),"")</f>
        <v/>
      </c>
      <c r="V67" s="106">
        <f ca="1">VLOOKUP(A67,Weightings_Assessments,24,FALSE)</f>
        <v>0</v>
      </c>
      <c r="W67" s="106">
        <f ca="1">IF(VLOOKUP(A67,Assess_B_Reference,34,FALSE)=8,0,1)</f>
        <v>1</v>
      </c>
      <c r="X67" s="106">
        <f ca="1">W67*V67*4</f>
        <v>0</v>
      </c>
      <c r="Y67" s="77" t="str">
        <f ca="1">AG67&amp;U67</f>
        <v/>
      </c>
      <c r="AD67" s="86"/>
      <c r="AE67" s="86"/>
      <c r="AF67" s="86"/>
      <c r="AG67" s="79"/>
      <c r="AH67" s="86"/>
      <c r="AI67" s="79"/>
    </row>
    <row r="68" spans="1:35" s="77" customFormat="1" ht="30" customHeight="1" x14ac:dyDescent="0.25">
      <c r="A68" s="68">
        <v>136</v>
      </c>
      <c r="B68" s="69" t="str">
        <f t="shared" ca="1" si="12"/>
        <v>B.6.01</v>
      </c>
      <c r="C68" s="70">
        <f t="shared" ca="1" si="13"/>
        <v>5</v>
      </c>
      <c r="D68" s="20"/>
      <c r="E68" s="91" t="str">
        <f t="shared" ca="1" si="14"/>
        <v>B.6.01</v>
      </c>
      <c r="F68" s="72" t="str">
        <f t="shared" ca="1" si="15"/>
        <v>When conducting penetration tests do you use a systematic, structured testing methodology?</v>
      </c>
      <c r="G68" s="195" t="str">
        <f ca="1">VLOOKUP($A68,Assess_B_Reference,15,FALSE)</f>
        <v/>
      </c>
      <c r="H68" s="195">
        <f ca="1">(VLOOKUP(LEFT($B68,3),Targets_Lookup,5,FALSE))*VLOOKUP($A68,Weightings_Assessments,23,FALSE)</f>
        <v>4</v>
      </c>
      <c r="I68" s="72" t="str">
        <f ca="1">IF(VLOOKUP(A68,Assess_B_Reference,16,FALSE)=0,"",VLOOKUP(A68,Assess_B_Reference,16,FALSE))</f>
        <v/>
      </c>
      <c r="J68" s="70"/>
      <c r="K68" s="70"/>
      <c r="L68" s="70"/>
      <c r="M68" s="70"/>
      <c r="N68" s="70"/>
      <c r="O68" s="70"/>
      <c r="P68" s="70"/>
      <c r="Q68" s="70"/>
      <c r="R68" s="70"/>
      <c r="S68" s="70"/>
      <c r="T68" s="78"/>
      <c r="U68" s="106" t="str">
        <f ca="1">IF(AND(C68&gt;4,VLOOKUP(A68,Assess_B_Reference,34,FALSE)&lt;&gt;8),LEFT(B68,3),"")</f>
        <v>B.6</v>
      </c>
      <c r="V68" s="106">
        <f ca="1">VLOOKUP(A68,Weightings_Assessments,24,FALSE)</f>
        <v>1</v>
      </c>
      <c r="W68" s="106">
        <f ca="1">IF(VLOOKUP(A68,Assess_B_Reference,34,FALSE)=8,0,1)</f>
        <v>1</v>
      </c>
      <c r="X68" s="106">
        <f ca="1">W68*V68*4</f>
        <v>4</v>
      </c>
      <c r="Y68" s="77" t="str">
        <f ca="1">AG68&amp;U68</f>
        <v>B.6</v>
      </c>
      <c r="AD68" s="86"/>
      <c r="AE68" s="86"/>
      <c r="AF68" s="86"/>
      <c r="AG68" s="79"/>
      <c r="AH68" s="86"/>
      <c r="AI68" s="79"/>
    </row>
    <row r="69" spans="1:35" s="77" customFormat="1" ht="30" customHeight="1" x14ac:dyDescent="0.25">
      <c r="A69" s="68">
        <v>137</v>
      </c>
      <c r="B69" s="69" t="str">
        <f t="shared" ca="1" si="12"/>
        <v>B.6.02</v>
      </c>
      <c r="C69" s="70">
        <f t="shared" ca="1" si="13"/>
        <v>5</v>
      </c>
      <c r="D69" s="20"/>
      <c r="E69" s="91" t="str">
        <f t="shared" ca="1" si="14"/>
        <v>B.6.02</v>
      </c>
      <c r="F69" s="72" t="str">
        <f t="shared" ca="1" si="15"/>
        <v>Is your penetration testing methodology based on proven approaches designed by authoritative publicly available sources?</v>
      </c>
      <c r="G69" s="195" t="str">
        <f ca="1">VLOOKUP($A69,Assess_B_Reference,15,FALSE)</f>
        <v/>
      </c>
      <c r="H69" s="195">
        <f ca="1">(VLOOKUP(LEFT($B69,3),Targets_Lookup,5,FALSE))*VLOOKUP($A69,Weightings_Assessments,23,FALSE)</f>
        <v>8</v>
      </c>
      <c r="I69" s="72" t="str">
        <f ca="1">IF(VLOOKUP(A69,Assess_B_Reference,16,FALSE)=0,"",VLOOKUP(A69,Assess_B_Reference,16,FALSE))</f>
        <v/>
      </c>
      <c r="J69" s="70"/>
      <c r="K69" s="70"/>
      <c r="L69" s="70"/>
      <c r="M69" s="70"/>
      <c r="N69" s="70"/>
      <c r="O69" s="70"/>
      <c r="P69" s="70"/>
      <c r="Q69" s="70"/>
      <c r="R69" s="70"/>
      <c r="S69" s="70"/>
      <c r="T69" s="78"/>
      <c r="U69" s="106" t="str">
        <f ca="1">IF(AND(C69&gt;4,VLOOKUP(A69,Assess_B_Reference,34,FALSE)&lt;&gt;8),LEFT(B69,3),"")</f>
        <v>B.6</v>
      </c>
      <c r="V69" s="106">
        <f ca="1">VLOOKUP(A69,Weightings_Assessments,24,FALSE)</f>
        <v>2</v>
      </c>
      <c r="W69" s="106">
        <f ca="1">IF(VLOOKUP(A69,Assess_B_Reference,34,FALSE)=8,0,1)</f>
        <v>1</v>
      </c>
      <c r="X69" s="106">
        <f ca="1">W69*V69*4</f>
        <v>8</v>
      </c>
      <c r="Y69" s="77" t="str">
        <f ca="1">AG69&amp;U69</f>
        <v>B.6</v>
      </c>
      <c r="AD69" s="86"/>
      <c r="AE69" s="86"/>
      <c r="AF69" s="86"/>
      <c r="AG69" s="79"/>
      <c r="AH69" s="86"/>
      <c r="AI69" s="79"/>
    </row>
    <row r="70" spans="1:35" s="77" customFormat="1" ht="60" x14ac:dyDescent="0.25">
      <c r="A70" s="68">
        <v>138</v>
      </c>
      <c r="B70" s="69" t="str">
        <f t="shared" ca="1" si="12"/>
        <v/>
      </c>
      <c r="C70" s="70">
        <f t="shared" ca="1" si="13"/>
        <v>3</v>
      </c>
      <c r="D70" s="20"/>
      <c r="E70" s="91" t="str">
        <f t="shared" ca="1" si="14"/>
        <v/>
      </c>
      <c r="F70" s="166" t="str">
        <f t="shared" ca="1" si="15"/>
        <v>Authoritative publicly available sources include the Open Source Security Testing Methodology Manual (OSSTM) or the penetration testing in SP800-115.[3] and the Open Web Application Security Project (OWASP).</v>
      </c>
      <c r="G70" s="85"/>
      <c r="H70" s="85"/>
      <c r="I70" s="72"/>
      <c r="J70" s="70"/>
      <c r="K70" s="70"/>
      <c r="L70" s="70"/>
      <c r="M70" s="70"/>
      <c r="N70" s="70"/>
      <c r="O70" s="70"/>
      <c r="P70" s="70"/>
      <c r="Q70" s="70"/>
      <c r="R70" s="70"/>
      <c r="S70" s="70"/>
      <c r="T70" s="78"/>
      <c r="U70" s="78"/>
      <c r="V70" s="78"/>
      <c r="W70" s="78"/>
      <c r="X70" s="78"/>
      <c r="AD70" s="86"/>
      <c r="AE70" s="86"/>
      <c r="AF70" s="86"/>
      <c r="AG70" s="79"/>
      <c r="AH70" s="86"/>
      <c r="AI70" s="79"/>
    </row>
    <row r="71" spans="1:35" s="77" customFormat="1" ht="45" x14ac:dyDescent="0.25">
      <c r="A71" s="68">
        <v>139</v>
      </c>
      <c r="B71" s="69" t="str">
        <f t="shared" ca="1" si="12"/>
        <v>B.6.03</v>
      </c>
      <c r="C71" s="70">
        <f t="shared" ca="1" si="13"/>
        <v>5</v>
      </c>
      <c r="D71" s="20"/>
      <c r="E71" s="91" t="str">
        <f t="shared" ca="1" si="14"/>
        <v>B.6.03</v>
      </c>
      <c r="F71" s="72" t="str">
        <f t="shared" ca="1" si="15"/>
        <v>Does your penetration testing methodology detail specific evaluation or testing criteria and adhere to a standard common language and scope for performing penetration testing (i.e. security evaluations)?</v>
      </c>
      <c r="G71" s="195" t="str">
        <f ca="1">VLOOKUP($A71,Assess_B_Reference,15,FALSE)</f>
        <v/>
      </c>
      <c r="H71" s="195">
        <f ca="1">(VLOOKUP(LEFT($B71,3),Targets_Lookup,5,FALSE))*VLOOKUP($A71,Weightings_Assessments,23,FALSE)</f>
        <v>12</v>
      </c>
      <c r="I71" s="72" t="str">
        <f ca="1">IF(VLOOKUP(A71,Assess_B_Reference,16,FALSE)=0,"",VLOOKUP(A71,Assess_B_Reference,16,FALSE))</f>
        <v/>
      </c>
      <c r="J71" s="70"/>
      <c r="K71" s="70"/>
      <c r="L71" s="70"/>
      <c r="M71" s="70"/>
      <c r="N71" s="70"/>
      <c r="O71" s="70"/>
      <c r="P71" s="70"/>
      <c r="Q71" s="70"/>
      <c r="R71" s="70"/>
      <c r="S71" s="70"/>
      <c r="T71" s="78"/>
      <c r="U71" s="106" t="str">
        <f ca="1">IF(AND(C71&gt;4,VLOOKUP(A71,Assess_B_Reference,34,FALSE)&lt;&gt;8),LEFT(B71,3),"")</f>
        <v>B.6</v>
      </c>
      <c r="V71" s="106">
        <f ca="1">VLOOKUP(A71,Weightings_Assessments,24,FALSE)</f>
        <v>3</v>
      </c>
      <c r="W71" s="106">
        <f ca="1">IF(VLOOKUP(A71,Assess_B_Reference,34,FALSE)=8,0,1)</f>
        <v>1</v>
      </c>
      <c r="X71" s="106">
        <f ca="1">W71*V71*4</f>
        <v>12</v>
      </c>
      <c r="Y71" s="77" t="str">
        <f ca="1">AG71&amp;U71</f>
        <v>B.6</v>
      </c>
      <c r="AD71" s="86"/>
      <c r="AE71" s="86"/>
      <c r="AF71" s="86"/>
      <c r="AG71" s="79"/>
      <c r="AH71" s="86"/>
      <c r="AI71" s="79"/>
    </row>
    <row r="72" spans="1:35" s="77" customFormat="1" ht="60" x14ac:dyDescent="0.25">
      <c r="A72" s="68">
        <v>140</v>
      </c>
      <c r="B72" s="69" t="str">
        <f t="shared" ref="B72:B103" ca="1" si="23">VLOOKUP(A72,Contents_Text,2,FALSE)</f>
        <v/>
      </c>
      <c r="C72" s="70">
        <f t="shared" ref="C72:C104" ca="1" si="24">VLOOKUP(A72,Contents_Text,15,FALSE)</f>
        <v>3</v>
      </c>
      <c r="D72" s="20"/>
      <c r="E72" s="91" t="str">
        <f t="shared" ref="E72:E104" ca="1" si="25">IF(C72=1,"Phase "&amp;B72,IF(C72=2,"Step "&amp;VLOOKUP(A72,Contents_Text,4,FALSE),B72))</f>
        <v/>
      </c>
      <c r="F72" s="166" t="str">
        <f t="shared" ref="F72:F104" ca="1" si="26">VLOOKUP(A72,Contents_Text,7,FALSE)</f>
        <v>Specific evaluation and testing criteria include the Information Systems Security Assessment Framework (ISSAF) and a standard common language and scope for performing penetration testing is defined in the Penetration Testing Execution Standard (PTES).</v>
      </c>
      <c r="G72" s="85"/>
      <c r="H72" s="85"/>
      <c r="I72" s="72"/>
      <c r="J72" s="70"/>
      <c r="K72" s="70"/>
      <c r="L72" s="70"/>
      <c r="M72" s="70"/>
      <c r="N72" s="70"/>
      <c r="O72" s="70"/>
      <c r="P72" s="70"/>
      <c r="Q72" s="70"/>
      <c r="R72" s="70"/>
      <c r="S72" s="70"/>
      <c r="T72" s="78"/>
      <c r="U72" s="78"/>
      <c r="V72" s="78"/>
      <c r="W72" s="78"/>
      <c r="X72" s="78"/>
      <c r="AD72" s="86"/>
      <c r="AE72" s="86"/>
      <c r="AF72" s="86"/>
      <c r="AG72" s="79"/>
      <c r="AH72" s="86"/>
      <c r="AI72" s="79"/>
    </row>
    <row r="73" spans="1:35" s="77" customFormat="1" ht="45" x14ac:dyDescent="0.25">
      <c r="A73" s="68">
        <v>141</v>
      </c>
      <c r="B73" s="69" t="str">
        <f t="shared" ca="1" si="23"/>
        <v>B.6.04</v>
      </c>
      <c r="C73" s="70">
        <f t="shared" ca="1" si="24"/>
        <v>5</v>
      </c>
      <c r="D73" s="20"/>
      <c r="E73" s="91" t="str">
        <f t="shared" ca="1" si="25"/>
        <v>B.6.04</v>
      </c>
      <c r="F73" s="72" t="str">
        <f t="shared" ca="1" si="26"/>
        <v>Does your penetration testing methodology specify a required approach (or approaches) for carrying out all stages of a comprehensive end-to-end penetration test?</v>
      </c>
      <c r="G73" s="195" t="str">
        <f ca="1">VLOOKUP($A73,Assess_B_Reference,15,FALSE)</f>
        <v/>
      </c>
      <c r="H73" s="195">
        <f ca="1">(VLOOKUP(LEFT($B73,3),Targets_Lookup,5,FALSE))*VLOOKUP($A73,Weightings_Assessments,23,FALSE)</f>
        <v>16</v>
      </c>
      <c r="I73" s="72" t="str">
        <f ca="1">IF(VLOOKUP(A73,Assess_B_Reference,16,FALSE)=0,"",VLOOKUP(A73,Assess_B_Reference,16,FALSE))</f>
        <v/>
      </c>
      <c r="J73" s="70"/>
      <c r="K73" s="70"/>
      <c r="L73" s="70"/>
      <c r="M73" s="70"/>
      <c r="N73" s="70"/>
      <c r="O73" s="70"/>
      <c r="P73" s="70"/>
      <c r="Q73" s="70"/>
      <c r="R73" s="70"/>
      <c r="S73" s="70"/>
      <c r="T73" s="78"/>
      <c r="U73" s="106" t="str">
        <f ca="1">IF(AND(C73&gt;4,VLOOKUP(A73,Assess_B_Reference,34,FALSE)&lt;&gt;8),LEFT(B73,3),"")</f>
        <v>B.6</v>
      </c>
      <c r="V73" s="106">
        <f ca="1">VLOOKUP(A73,Weightings_Assessments,24,FALSE)</f>
        <v>4</v>
      </c>
      <c r="W73" s="106">
        <f ca="1">IF(VLOOKUP(A73,Assess_B_Reference,34,FALSE)=8,0,1)</f>
        <v>1</v>
      </c>
      <c r="X73" s="106">
        <f ca="1">W73*V73*4</f>
        <v>16</v>
      </c>
      <c r="Y73" s="77" t="str">
        <f ca="1">AG73&amp;U73</f>
        <v>B.6</v>
      </c>
      <c r="AD73" s="86"/>
      <c r="AE73" s="86"/>
      <c r="AF73" s="86"/>
      <c r="AG73" s="79"/>
      <c r="AH73" s="86"/>
      <c r="AI73" s="79"/>
    </row>
    <row r="74" spans="1:35" s="77" customFormat="1" ht="60" x14ac:dyDescent="0.25">
      <c r="A74" s="68">
        <v>142</v>
      </c>
      <c r="B74" s="69" t="str">
        <f t="shared" ca="1" si="23"/>
        <v/>
      </c>
      <c r="C74" s="70">
        <f t="shared" ca="1" si="24"/>
        <v>3</v>
      </c>
      <c r="D74" s="20"/>
      <c r="E74" s="91" t="str">
        <f t="shared" ca="1" si="25"/>
        <v/>
      </c>
      <c r="F74" s="166" t="str">
        <f t="shared" ca="1" si="26"/>
        <v>An effective penetration testing methodology should specify a required approach (or approaches) for carrying out planning; conducting research; identifying vulnerabilities; exploiting weaknesses; reporting findings; and remediating issues.</v>
      </c>
      <c r="G74" s="85"/>
      <c r="H74" s="85"/>
      <c r="I74" s="72"/>
      <c r="J74" s="70"/>
      <c r="K74" s="70"/>
      <c r="L74" s="70"/>
      <c r="M74" s="70"/>
      <c r="N74" s="70"/>
      <c r="O74" s="70"/>
      <c r="P74" s="70"/>
      <c r="Q74" s="70"/>
      <c r="R74" s="70"/>
      <c r="S74" s="70"/>
      <c r="T74" s="78"/>
      <c r="U74" s="78"/>
      <c r="V74" s="78"/>
      <c r="W74" s="78"/>
      <c r="X74" s="78"/>
      <c r="AD74" s="86"/>
      <c r="AE74" s="86"/>
      <c r="AF74" s="86"/>
      <c r="AG74" s="79"/>
      <c r="AH74" s="86"/>
      <c r="AI74" s="79"/>
    </row>
    <row r="75" spans="1:35" s="77" customFormat="1" ht="45" x14ac:dyDescent="0.25">
      <c r="A75" s="68">
        <v>143</v>
      </c>
      <c r="B75" s="69" t="str">
        <f t="shared" ca="1" si="23"/>
        <v>B.6.05</v>
      </c>
      <c r="C75" s="70">
        <f t="shared" ca="1" si="24"/>
        <v>5</v>
      </c>
      <c r="D75" s="20"/>
      <c r="E75" s="91" t="str">
        <f t="shared" ca="1" si="25"/>
        <v>B.6.05</v>
      </c>
      <c r="F75" s="72" t="str">
        <f t="shared" ca="1" si="26"/>
        <v>Do your service providers demonstrate compliance to ‘standard’ methodologies, if required, and develop or augment testing methodologies that each scenario demands?</v>
      </c>
      <c r="G75" s="195" t="str">
        <f ca="1">VLOOKUP($A75,Assess_B_Reference,15,FALSE)</f>
        <v/>
      </c>
      <c r="H75" s="195">
        <f ca="1">(VLOOKUP(LEFT($B75,3),Targets_Lookup,5,FALSE))*VLOOKUP($A75,Weightings_Assessments,23,FALSE)</f>
        <v>20</v>
      </c>
      <c r="I75" s="72" t="str">
        <f ca="1">IF(VLOOKUP(A75,Assess_B_Reference,16,FALSE)=0,"",VLOOKUP(A75,Assess_B_Reference,16,FALSE))</f>
        <v/>
      </c>
      <c r="J75" s="70"/>
      <c r="K75" s="70"/>
      <c r="L75" s="70"/>
      <c r="M75" s="70"/>
      <c r="N75" s="70"/>
      <c r="O75" s="70"/>
      <c r="P75" s="70"/>
      <c r="Q75" s="70"/>
      <c r="R75" s="70"/>
      <c r="S75" s="70"/>
      <c r="T75" s="78"/>
      <c r="U75" s="106" t="str">
        <f ca="1">IF(AND(C75&gt;4,VLOOKUP(A75,Assess_B_Reference,34,FALSE)&lt;&gt;8),LEFT(B75,3),"")</f>
        <v>B.6</v>
      </c>
      <c r="V75" s="106">
        <f ca="1">VLOOKUP(A75,Weightings_Assessments,24,FALSE)</f>
        <v>5</v>
      </c>
      <c r="W75" s="106">
        <f ca="1">IF(VLOOKUP(A75,Assess_B_Reference,34,FALSE)=8,0,1)</f>
        <v>1</v>
      </c>
      <c r="X75" s="106">
        <f ca="1">W75*V75*4</f>
        <v>20</v>
      </c>
      <c r="Y75" s="77" t="str">
        <f ca="1">AG75&amp;U75</f>
        <v>B.6</v>
      </c>
      <c r="AD75" s="86"/>
      <c r="AE75" s="86"/>
      <c r="AF75" s="86"/>
      <c r="AG75" s="79"/>
      <c r="AH75" s="86"/>
      <c r="AI75" s="79"/>
    </row>
    <row r="76" spans="1:35" s="77" customFormat="1" ht="30" customHeight="1" x14ac:dyDescent="0.25">
      <c r="A76" s="68">
        <v>144</v>
      </c>
      <c r="B76" s="69" t="str">
        <f t="shared" ca="1" si="23"/>
        <v>B.7</v>
      </c>
      <c r="C76" s="70">
        <f t="shared" ca="1" si="24"/>
        <v>2</v>
      </c>
      <c r="D76" s="20"/>
      <c r="E76" s="111" t="str">
        <f t="shared" ca="1" si="25"/>
        <v>Step 7</v>
      </c>
      <c r="F76" s="108" t="str">
        <f t="shared" ca="1" si="26"/>
        <v>Conduct sufficient research and planning</v>
      </c>
      <c r="G76" s="193" t="str">
        <f ca="1">"Maturity level:  "&amp;O76</f>
        <v>Maturity level:  Level 1</v>
      </c>
      <c r="H76" s="194"/>
      <c r="I76" s="172"/>
      <c r="J76" s="107"/>
      <c r="K76" s="107"/>
      <c r="L76" s="107" t="str">
        <f ca="1">TEXT(B76,"0.0")</f>
        <v>B.7</v>
      </c>
      <c r="M76" s="106">
        <f ca="1">SUMIF(Y:Y,L76,G:G)/(SUMIF(Y:Y,L76,X:X))</f>
        <v>0</v>
      </c>
      <c r="N76" s="106" t="str">
        <f ca="1">HLOOKUP(M76*100,level_ref,2,TRUE)</f>
        <v>Level 1</v>
      </c>
      <c r="O76" s="106" t="str">
        <f ca="1">IF(ISERROR(N76),"",N76)</f>
        <v>Level 1</v>
      </c>
      <c r="P76" s="106">
        <f ca="1">HLOOKUP(M76*100,level_ref,3,TRUE)</f>
        <v>1</v>
      </c>
      <c r="Q76" s="106">
        <f ca="1">IF(ISERROR(P76),"",P76)</f>
        <v>1</v>
      </c>
      <c r="R76" s="106">
        <f ca="1">M76*5</f>
        <v>0</v>
      </c>
      <c r="S76" s="106"/>
      <c r="T76" s="106"/>
      <c r="U76" s="106" t="str">
        <f ca="1">IF(AND(C76&gt;4,VLOOKUP(A76,Assess_B_Reference,34,FALSE)&lt;&gt;8),LEFT(B76,3),"")</f>
        <v/>
      </c>
      <c r="V76" s="106">
        <f ca="1">VLOOKUP(A76,Weightings_Assessments,24,FALSE)</f>
        <v>0</v>
      </c>
      <c r="W76" s="106">
        <f ca="1">IF(VLOOKUP(A76,Assess_B_Reference,34,FALSE)=8,0,1)</f>
        <v>1</v>
      </c>
      <c r="X76" s="106">
        <f ca="1">W76*V76*4</f>
        <v>0</v>
      </c>
      <c r="Y76" s="77" t="str">
        <f ca="1">AG76&amp;U76</f>
        <v/>
      </c>
      <c r="AD76" s="86"/>
      <c r="AE76" s="86"/>
      <c r="AF76" s="86"/>
      <c r="AG76" s="79"/>
      <c r="AH76" s="86"/>
      <c r="AI76" s="79"/>
    </row>
    <row r="77" spans="1:35" s="77" customFormat="1" ht="30" customHeight="1" x14ac:dyDescent="0.25">
      <c r="A77" s="68">
        <v>145</v>
      </c>
      <c r="B77" s="69" t="str">
        <f t="shared" ca="1" si="23"/>
        <v>B.7.01</v>
      </c>
      <c r="C77" s="70">
        <f t="shared" ca="1" si="24"/>
        <v>5</v>
      </c>
      <c r="D77" s="20"/>
      <c r="E77" s="91" t="str">
        <f t="shared" ca="1" si="25"/>
        <v>B.7.01</v>
      </c>
      <c r="F77" s="72" t="str">
        <f t="shared" ca="1" si="26"/>
        <v>Are detailed, agreed test plans produced to provide guidelines for the penetration testing to be undertaken?</v>
      </c>
      <c r="G77" s="195" t="str">
        <f ca="1">VLOOKUP($A77,Assess_B_Reference,15,FALSE)</f>
        <v/>
      </c>
      <c r="H77" s="195">
        <f ca="1">(VLOOKUP(LEFT($B77,3),Targets_Lookup,5,FALSE))*VLOOKUP($A77,Weightings_Assessments,23,FALSE)</f>
        <v>4</v>
      </c>
      <c r="I77" s="72" t="str">
        <f ca="1">IF(VLOOKUP(A77,Assess_B_Reference,16,FALSE)=0,"",VLOOKUP(A77,Assess_B_Reference,16,FALSE))</f>
        <v/>
      </c>
      <c r="J77" s="70"/>
      <c r="K77" s="70"/>
      <c r="L77" s="70"/>
      <c r="M77" s="70"/>
      <c r="N77" s="70"/>
      <c r="O77" s="70"/>
      <c r="P77" s="70"/>
      <c r="Q77" s="70"/>
      <c r="R77" s="70"/>
      <c r="S77" s="70"/>
      <c r="T77" s="78"/>
      <c r="U77" s="106" t="str">
        <f ca="1">IF(AND(C77&gt;4,VLOOKUP(A77,Assess_B_Reference,34,FALSE)&lt;&gt;8),LEFT(B77,3),"")</f>
        <v>B.7</v>
      </c>
      <c r="V77" s="106">
        <f ca="1">VLOOKUP(A77,Weightings_Assessments,24,FALSE)</f>
        <v>1</v>
      </c>
      <c r="W77" s="106">
        <f ca="1">IF(VLOOKUP(A77,Assess_B_Reference,34,FALSE)=8,0,1)</f>
        <v>1</v>
      </c>
      <c r="X77" s="106">
        <f ca="1">W77*V77*4</f>
        <v>4</v>
      </c>
      <c r="Y77" s="77" t="str">
        <f ca="1">AG77&amp;U77</f>
        <v>B.7</v>
      </c>
      <c r="AD77" s="86"/>
      <c r="AE77" s="86"/>
      <c r="AF77" s="86"/>
      <c r="AG77" s="79"/>
      <c r="AH77" s="86"/>
      <c r="AI77" s="79"/>
    </row>
    <row r="78" spans="1:35" s="77" customFormat="1" ht="30" customHeight="1" x14ac:dyDescent="0.25">
      <c r="A78" s="68">
        <v>146</v>
      </c>
      <c r="B78" s="69" t="str">
        <f t="shared" ca="1" si="23"/>
        <v/>
      </c>
      <c r="C78" s="70">
        <f t="shared" ca="1" si="24"/>
        <v>3</v>
      </c>
      <c r="D78" s="20"/>
      <c r="E78" s="91" t="str">
        <f t="shared" ca="1" si="25"/>
        <v/>
      </c>
      <c r="F78" s="166" t="str">
        <f t="shared" ca="1" si="26"/>
        <v>Test plans should be produced by your testing service provider and agreed with your organisation prior to any testing commencing.</v>
      </c>
      <c r="G78" s="85"/>
      <c r="H78" s="85"/>
      <c r="I78" s="72"/>
      <c r="J78" s="70"/>
      <c r="K78" s="70"/>
      <c r="L78" s="70"/>
      <c r="M78" s="70"/>
      <c r="N78" s="70"/>
      <c r="O78" s="70"/>
      <c r="P78" s="70"/>
      <c r="Q78" s="70"/>
      <c r="R78" s="70"/>
      <c r="S78" s="70"/>
      <c r="T78" s="78"/>
      <c r="U78" s="78"/>
      <c r="V78" s="78"/>
      <c r="W78" s="78"/>
      <c r="X78" s="78"/>
      <c r="AD78" s="86"/>
      <c r="AE78" s="86"/>
      <c r="AF78" s="86"/>
      <c r="AG78" s="79"/>
      <c r="AH78" s="86"/>
      <c r="AI78" s="79"/>
    </row>
    <row r="79" spans="1:35" s="77" customFormat="1" ht="45" x14ac:dyDescent="0.25">
      <c r="A79" s="68">
        <v>147</v>
      </c>
      <c r="B79" s="69" t="str">
        <f t="shared" ca="1" si="23"/>
        <v>B.7.02</v>
      </c>
      <c r="C79" s="70">
        <f t="shared" ca="1" si="24"/>
        <v>5</v>
      </c>
      <c r="D79" s="20"/>
      <c r="E79" s="91" t="str">
        <f t="shared" ca="1" si="25"/>
        <v>B.7.02</v>
      </c>
      <c r="F79" s="72" t="str">
        <f t="shared" ca="1" si="26"/>
        <v>Do test plans specify what will actually be done during the test itself and help to assure the process for a proper security test without creating misunderstandings, misconceptions, or false expectations?</v>
      </c>
      <c r="G79" s="195" t="str">
        <f ca="1">VLOOKUP($A79,Assess_B_Reference,15,FALSE)</f>
        <v/>
      </c>
      <c r="H79" s="195">
        <f ca="1">(VLOOKUP(LEFT($B79,3),Targets_Lookup,5,FALSE))*VLOOKUP($A79,Weightings_Assessments,23,FALSE)</f>
        <v>16</v>
      </c>
      <c r="I79" s="72" t="str">
        <f ca="1">IF(VLOOKUP(A79,Assess_B_Reference,16,FALSE)=0,"",VLOOKUP(A79,Assess_B_Reference,16,FALSE))</f>
        <v/>
      </c>
      <c r="J79" s="70"/>
      <c r="K79" s="70"/>
      <c r="L79" s="70"/>
      <c r="M79" s="70"/>
      <c r="N79" s="70"/>
      <c r="O79" s="70"/>
      <c r="P79" s="70"/>
      <c r="Q79" s="70"/>
      <c r="R79" s="70"/>
      <c r="S79" s="70"/>
      <c r="T79" s="78"/>
      <c r="U79" s="106" t="str">
        <f ca="1">IF(AND(C79&gt;4,VLOOKUP(A79,Assess_B_Reference,34,FALSE)&lt;&gt;8),LEFT(B79,3),"")</f>
        <v>B.7</v>
      </c>
      <c r="V79" s="106">
        <f ca="1">VLOOKUP(A79,Weightings_Assessments,24,FALSE)</f>
        <v>4</v>
      </c>
      <c r="W79" s="106">
        <f ca="1">IF(VLOOKUP(A79,Assess_B_Reference,34,FALSE)=8,0,1)</f>
        <v>1</v>
      </c>
      <c r="X79" s="106">
        <f ca="1">W79*V79*4</f>
        <v>16</v>
      </c>
      <c r="Y79" s="77" t="str">
        <f ca="1">AG79&amp;U79</f>
        <v>B.7</v>
      </c>
      <c r="AD79" s="86"/>
      <c r="AE79" s="86"/>
      <c r="AF79" s="86"/>
      <c r="AG79" s="79"/>
      <c r="AH79" s="86"/>
      <c r="AI79" s="79"/>
    </row>
    <row r="80" spans="1:35" s="77" customFormat="1" ht="45" x14ac:dyDescent="0.25">
      <c r="A80" s="68">
        <v>148</v>
      </c>
      <c r="B80" s="69" t="str">
        <f t="shared" ca="1" si="23"/>
        <v>B.7.03</v>
      </c>
      <c r="C80" s="70">
        <f t="shared" ca="1" si="24"/>
        <v>5</v>
      </c>
      <c r="D80" s="20"/>
      <c r="E80" s="91" t="str">
        <f t="shared" ca="1" si="25"/>
        <v>B.7.03</v>
      </c>
      <c r="F80" s="72" t="str">
        <f t="shared" ca="1" si="26"/>
        <v>Do penetration tests include carrying out sufficient research to imitate the research activities that a potential attacker could undertake to find out as much about the target environment and how it works as possible?</v>
      </c>
      <c r="G80" s="195" t="str">
        <f ca="1">VLOOKUP($A80,Assess_B_Reference,15,FALSE)</f>
        <v/>
      </c>
      <c r="H80" s="195">
        <f ca="1">(VLOOKUP(LEFT($B80,3),Targets_Lookup,5,FALSE))*VLOOKUP($A80,Weightings_Assessments,23,FALSE)</f>
        <v>12</v>
      </c>
      <c r="I80" s="72" t="str">
        <f ca="1">IF(VLOOKUP(A80,Assess_B_Reference,16,FALSE)=0,"",VLOOKUP(A80,Assess_B_Reference,16,FALSE))</f>
        <v/>
      </c>
      <c r="J80" s="70"/>
      <c r="K80" s="70"/>
      <c r="L80" s="70"/>
      <c r="M80" s="70"/>
      <c r="N80" s="70"/>
      <c r="O80" s="70"/>
      <c r="P80" s="70"/>
      <c r="Q80" s="70"/>
      <c r="R80" s="70"/>
      <c r="S80" s="70"/>
      <c r="T80" s="78"/>
      <c r="U80" s="106" t="str">
        <f ca="1">IF(AND(C80&gt;4,VLOOKUP(A80,Assess_B_Reference,34,FALSE)&lt;&gt;8),LEFT(B80,3),"")</f>
        <v>B.7</v>
      </c>
      <c r="V80" s="106">
        <f ca="1">VLOOKUP(A80,Weightings_Assessments,24,FALSE)</f>
        <v>3</v>
      </c>
      <c r="W80" s="106">
        <f ca="1">IF(VLOOKUP(A80,Assess_B_Reference,34,FALSE)=8,0,1)</f>
        <v>1</v>
      </c>
      <c r="X80" s="106">
        <f ca="1">W80*V80*4</f>
        <v>12</v>
      </c>
      <c r="Y80" s="77" t="str">
        <f ca="1">AG80&amp;U80</f>
        <v>B.7</v>
      </c>
      <c r="AD80" s="86"/>
      <c r="AE80" s="86"/>
      <c r="AF80" s="86"/>
      <c r="AG80" s="79"/>
      <c r="AH80" s="86"/>
      <c r="AI80" s="79"/>
    </row>
    <row r="81" spans="1:35" s="77" customFormat="1" ht="30" customHeight="1" x14ac:dyDescent="0.25">
      <c r="A81" s="68">
        <v>149</v>
      </c>
      <c r="B81" s="69" t="str">
        <f t="shared" ca="1" si="23"/>
        <v>B.7.04</v>
      </c>
      <c r="C81" s="70">
        <f t="shared" ca="1" si="24"/>
        <v>5</v>
      </c>
      <c r="D81" s="20"/>
      <c r="E81" s="91" t="str">
        <f t="shared" ca="1" si="25"/>
        <v>B.7.04</v>
      </c>
      <c r="F81" s="72" t="str">
        <f t="shared" ca="1" si="26"/>
        <v>Does the research undertaken include gathering, collating and analysing all relevant information about the target?</v>
      </c>
      <c r="G81" s="195" t="str">
        <f ca="1">VLOOKUP($A81,Assess_B_Reference,15,FALSE)</f>
        <v/>
      </c>
      <c r="H81" s="195">
        <f ca="1">(VLOOKUP(LEFT($B81,3),Targets_Lookup,5,FALSE))*VLOOKUP($A81,Weightings_Assessments,23,FALSE)</f>
        <v>8</v>
      </c>
      <c r="I81" s="72" t="str">
        <f ca="1">IF(VLOOKUP(A81,Assess_B_Reference,16,FALSE)=0,"",VLOOKUP(A81,Assess_B_Reference,16,FALSE))</f>
        <v/>
      </c>
      <c r="J81" s="70"/>
      <c r="K81" s="70"/>
      <c r="L81" s="70"/>
      <c r="M81" s="70"/>
      <c r="N81" s="70"/>
      <c r="O81" s="70"/>
      <c r="P81" s="70"/>
      <c r="Q81" s="70"/>
      <c r="R81" s="70"/>
      <c r="S81" s="70"/>
      <c r="T81" s="78"/>
      <c r="U81" s="106" t="str">
        <f ca="1">IF(AND(C81&gt;4,VLOOKUP(A81,Assess_B_Reference,34,FALSE)&lt;&gt;8),LEFT(B81,3),"")</f>
        <v>B.7</v>
      </c>
      <c r="V81" s="106">
        <f ca="1">VLOOKUP(A81,Weightings_Assessments,24,FALSE)</f>
        <v>2</v>
      </c>
      <c r="W81" s="106">
        <f ca="1">IF(VLOOKUP(A81,Assess_B_Reference,34,FALSE)=8,0,1)</f>
        <v>1</v>
      </c>
      <c r="X81" s="106">
        <f ca="1">W81*V81*4</f>
        <v>8</v>
      </c>
      <c r="Y81" s="77" t="str">
        <f ca="1">AG81&amp;U81</f>
        <v>B.7</v>
      </c>
      <c r="AD81" s="86"/>
      <c r="AE81" s="86"/>
      <c r="AF81" s="86"/>
      <c r="AG81" s="79"/>
      <c r="AH81" s="86"/>
      <c r="AI81" s="79"/>
    </row>
    <row r="82" spans="1:35" s="77" customFormat="1" ht="60" x14ac:dyDescent="0.25">
      <c r="A82" s="68">
        <v>150</v>
      </c>
      <c r="B82" s="69" t="str">
        <f t="shared" ca="1" si="23"/>
        <v/>
      </c>
      <c r="C82" s="70">
        <f t="shared" ca="1" si="24"/>
        <v>3</v>
      </c>
      <c r="D82" s="20"/>
      <c r="E82" s="91" t="str">
        <f t="shared" ca="1" si="25"/>
        <v/>
      </c>
      <c r="F82" s="166" t="str">
        <f t="shared" ca="1" si="26"/>
        <v>Relevant information should include data: obtained from public sources of information, such as the Internet; through information sharing networks (e.g. CERTs); and via authorised social engineering sources.</v>
      </c>
      <c r="G82" s="85"/>
      <c r="H82" s="85"/>
      <c r="I82" s="72"/>
      <c r="J82" s="70"/>
      <c r="K82" s="70"/>
      <c r="L82" s="70"/>
      <c r="M82" s="70"/>
      <c r="N82" s="70"/>
      <c r="O82" s="70"/>
      <c r="P82" s="70"/>
      <c r="Q82" s="70"/>
      <c r="R82" s="70"/>
      <c r="S82" s="70"/>
      <c r="T82" s="78"/>
      <c r="U82" s="78"/>
      <c r="V82" s="78"/>
      <c r="W82" s="78"/>
      <c r="X82" s="78"/>
      <c r="AD82" s="86"/>
      <c r="AE82" s="86"/>
      <c r="AF82" s="86"/>
      <c r="AG82" s="79"/>
      <c r="AH82" s="86"/>
      <c r="AI82" s="79"/>
    </row>
    <row r="83" spans="1:35" s="77" customFormat="1" ht="30" customHeight="1" x14ac:dyDescent="0.25">
      <c r="A83" s="68">
        <v>151</v>
      </c>
      <c r="B83" s="69" t="str">
        <f t="shared" ca="1" si="23"/>
        <v>B.7.05</v>
      </c>
      <c r="C83" s="70">
        <f t="shared" ca="1" si="24"/>
        <v>5</v>
      </c>
      <c r="D83" s="20"/>
      <c r="E83" s="91" t="str">
        <f t="shared" ca="1" si="25"/>
        <v>B.7.05</v>
      </c>
      <c r="F83" s="72" t="str">
        <f t="shared" ca="1" si="26"/>
        <v>Is information about the target based on threat intelligence?</v>
      </c>
      <c r="G83" s="195" t="str">
        <f ca="1">VLOOKUP($A83,Assess_B_Reference,15,FALSE)</f>
        <v/>
      </c>
      <c r="H83" s="195">
        <f ca="1">(VLOOKUP(LEFT($B83,3),Targets_Lookup,5,FALSE))*VLOOKUP($A83,Weightings_Assessments,23,FALSE)</f>
        <v>20</v>
      </c>
      <c r="I83" s="72" t="str">
        <f ca="1">IF(VLOOKUP(A83,Assess_B_Reference,16,FALSE)=0,"",VLOOKUP(A83,Assess_B_Reference,16,FALSE))</f>
        <v/>
      </c>
      <c r="J83" s="70"/>
      <c r="K83" s="70"/>
      <c r="L83" s="70"/>
      <c r="M83" s="70"/>
      <c r="N83" s="70"/>
      <c r="O83" s="70"/>
      <c r="P83" s="70"/>
      <c r="Q83" s="70"/>
      <c r="R83" s="70"/>
      <c r="S83" s="70"/>
      <c r="T83" s="78"/>
      <c r="U83" s="106" t="str">
        <f ca="1">IF(AND(C83&gt;4,VLOOKUP(A83,Assess_B_Reference,34,FALSE)&lt;&gt;8),LEFT(B83,3),"")</f>
        <v>B.7</v>
      </c>
      <c r="V83" s="106">
        <f ca="1">VLOOKUP(A83,Weightings_Assessments,24,FALSE)</f>
        <v>5</v>
      </c>
      <c r="W83" s="106">
        <f ca="1">IF(VLOOKUP(A83,Assess_B_Reference,34,FALSE)=8,0,1)</f>
        <v>1</v>
      </c>
      <c r="X83" s="106">
        <f ca="1">W83*V83*4</f>
        <v>20</v>
      </c>
      <c r="Y83" s="77" t="str">
        <f ca="1">AG83&amp;U83</f>
        <v>B.7</v>
      </c>
      <c r="AD83" s="86"/>
      <c r="AE83" s="86"/>
      <c r="AF83" s="86"/>
      <c r="AG83" s="79"/>
      <c r="AH83" s="86"/>
      <c r="AI83" s="79"/>
    </row>
    <row r="84" spans="1:35" s="77" customFormat="1" ht="30" customHeight="1" x14ac:dyDescent="0.25">
      <c r="A84" s="68">
        <v>152</v>
      </c>
      <c r="B84" s="69" t="str">
        <f t="shared" ca="1" si="23"/>
        <v>B.7.06</v>
      </c>
      <c r="C84" s="70">
        <f t="shared" ca="1" si="24"/>
        <v>5</v>
      </c>
      <c r="D84" s="20"/>
      <c r="E84" s="91" t="str">
        <f t="shared" ca="1" si="25"/>
        <v>B.7.06</v>
      </c>
      <c r="F84" s="72" t="str">
        <f t="shared" ca="1" si="26"/>
        <v>Does the research undertaken include carrying out reconnaissance?</v>
      </c>
      <c r="G84" s="195" t="str">
        <f ca="1">VLOOKUP($A84,Assess_B_Reference,15,FALSE)</f>
        <v/>
      </c>
      <c r="H84" s="195">
        <f ca="1">(VLOOKUP(LEFT($B84,3),Targets_Lookup,5,FALSE))*VLOOKUP($A84,Weightings_Assessments,23,FALSE)</f>
        <v>12</v>
      </c>
      <c r="I84" s="72" t="str">
        <f ca="1">IF(VLOOKUP(A84,Assess_B_Reference,16,FALSE)=0,"",VLOOKUP(A84,Assess_B_Reference,16,FALSE))</f>
        <v/>
      </c>
      <c r="J84" s="70"/>
      <c r="K84" s="70"/>
      <c r="L84" s="70"/>
      <c r="M84" s="70"/>
      <c r="N84" s="70"/>
      <c r="O84" s="70"/>
      <c r="P84" s="70"/>
      <c r="Q84" s="70"/>
      <c r="R84" s="70"/>
      <c r="S84" s="70"/>
      <c r="T84" s="78"/>
      <c r="U84" s="106" t="str">
        <f ca="1">IF(AND(C84&gt;4,VLOOKUP(A84,Assess_B_Reference,34,FALSE)&lt;&gt;8),LEFT(B84,3),"")</f>
        <v>B.7</v>
      </c>
      <c r="V84" s="106">
        <f ca="1">VLOOKUP(A84,Weightings_Assessments,24,FALSE)</f>
        <v>3</v>
      </c>
      <c r="W84" s="106">
        <f ca="1">IF(VLOOKUP(A84,Assess_B_Reference,34,FALSE)=8,0,1)</f>
        <v>1</v>
      </c>
      <c r="X84" s="106">
        <f ca="1">W84*V84*4</f>
        <v>12</v>
      </c>
      <c r="Y84" s="77" t="str">
        <f ca="1">AG84&amp;U84</f>
        <v>B.7</v>
      </c>
      <c r="AD84" s="86"/>
      <c r="AE84" s="86"/>
      <c r="AF84" s="86"/>
      <c r="AG84" s="79"/>
      <c r="AH84" s="86"/>
      <c r="AI84" s="79"/>
    </row>
    <row r="85" spans="1:35" s="77" customFormat="1" ht="60" x14ac:dyDescent="0.25">
      <c r="A85" s="68">
        <v>153</v>
      </c>
      <c r="B85" s="69" t="str">
        <f t="shared" ca="1" si="23"/>
        <v/>
      </c>
      <c r="C85" s="70">
        <f t="shared" ca="1" si="24"/>
        <v>3</v>
      </c>
      <c r="D85" s="20"/>
      <c r="E85" s="91" t="str">
        <f t="shared" ca="1" si="25"/>
        <v/>
      </c>
      <c r="F85" s="166" t="str">
        <f t="shared" ca="1" si="26"/>
        <v>Reconnaissance should include collating and analysing information about the target obtaining positive confirmation of information about the target (e.g. to confirm that system configuration and security controls are as expected).</v>
      </c>
      <c r="G85" s="85"/>
      <c r="H85" s="85"/>
      <c r="I85" s="72"/>
      <c r="J85" s="70"/>
      <c r="K85" s="70"/>
      <c r="L85" s="70"/>
      <c r="M85" s="70"/>
      <c r="N85" s="70"/>
      <c r="O85" s="70"/>
      <c r="P85" s="70"/>
      <c r="Q85" s="70"/>
      <c r="R85" s="70"/>
      <c r="S85" s="70"/>
      <c r="T85" s="78"/>
      <c r="U85" s="78"/>
      <c r="V85" s="78"/>
      <c r="W85" s="78"/>
      <c r="X85" s="78"/>
      <c r="AD85" s="86"/>
      <c r="AE85" s="86"/>
      <c r="AF85" s="86"/>
      <c r="AG85" s="79"/>
      <c r="AH85" s="86"/>
      <c r="AI85" s="79"/>
    </row>
    <row r="86" spans="1:35" s="77" customFormat="1" ht="30" customHeight="1" x14ac:dyDescent="0.25">
      <c r="A86" s="68">
        <v>154</v>
      </c>
      <c r="B86" s="69" t="str">
        <f t="shared" ca="1" si="23"/>
        <v>B.7.07</v>
      </c>
      <c r="C86" s="70">
        <f t="shared" ca="1" si="24"/>
        <v>5</v>
      </c>
      <c r="D86" s="20"/>
      <c r="E86" s="91" t="str">
        <f t="shared" ca="1" si="25"/>
        <v>B.7.07</v>
      </c>
      <c r="F86" s="72" t="str">
        <f t="shared" ca="1" si="26"/>
        <v>Does the research undertaken include network enumeration / scanning?</v>
      </c>
      <c r="G86" s="195" t="str">
        <f ca="1">VLOOKUP($A86,Assess_B_Reference,15,FALSE)</f>
        <v/>
      </c>
      <c r="H86" s="195">
        <f ca="1">(VLOOKUP(LEFT($B86,3),Targets_Lookup,5,FALSE))*VLOOKUP($A86,Weightings_Assessments,23,FALSE)</f>
        <v>12</v>
      </c>
      <c r="I86" s="72" t="str">
        <f ca="1">IF(VLOOKUP(A86,Assess_B_Reference,16,FALSE)=0,"",VLOOKUP(A86,Assess_B_Reference,16,FALSE))</f>
        <v/>
      </c>
      <c r="J86" s="70"/>
      <c r="K86" s="70"/>
      <c r="L86" s="70"/>
      <c r="M86" s="70"/>
      <c r="N86" s="70"/>
      <c r="O86" s="70"/>
      <c r="P86" s="70"/>
      <c r="Q86" s="70"/>
      <c r="R86" s="70"/>
      <c r="S86" s="70"/>
      <c r="T86" s="78"/>
      <c r="U86" s="106" t="str">
        <f ca="1">IF(AND(C86&gt;4,VLOOKUP(A86,Assess_B_Reference,34,FALSE)&lt;&gt;8),LEFT(B86,3),"")</f>
        <v>B.7</v>
      </c>
      <c r="V86" s="106">
        <f ca="1">VLOOKUP(A86,Weightings_Assessments,24,FALSE)</f>
        <v>3</v>
      </c>
      <c r="W86" s="106">
        <f ca="1">IF(VLOOKUP(A86,Assess_B_Reference,34,FALSE)=8,0,1)</f>
        <v>1</v>
      </c>
      <c r="X86" s="106">
        <f ca="1">W86*V86*4</f>
        <v>12</v>
      </c>
      <c r="Y86" s="77" t="str">
        <f ca="1">AG86&amp;U86</f>
        <v>B.7</v>
      </c>
      <c r="AD86" s="86"/>
      <c r="AE86" s="86"/>
      <c r="AF86" s="86"/>
      <c r="AG86" s="79"/>
      <c r="AH86" s="86"/>
      <c r="AI86" s="79"/>
    </row>
    <row r="87" spans="1:35" s="77" customFormat="1" ht="60" x14ac:dyDescent="0.25">
      <c r="A87" s="68">
        <v>155</v>
      </c>
      <c r="B87" s="69" t="str">
        <f t="shared" ca="1" si="23"/>
        <v/>
      </c>
      <c r="C87" s="70">
        <f t="shared" ca="1" si="24"/>
        <v>3</v>
      </c>
      <c r="D87" s="20"/>
      <c r="E87" s="91" t="str">
        <f t="shared" ca="1" si="25"/>
        <v/>
      </c>
      <c r="F87" s="166" t="str">
        <f t="shared" ca="1" si="26"/>
        <v>Network enumeration / scanning should include identifying the potential points of access being offered by a target by scanning for open services on targets and establishing the existence of possible user identification credentials.</v>
      </c>
      <c r="G87" s="85"/>
      <c r="H87" s="85"/>
      <c r="I87" s="72"/>
      <c r="J87" s="70"/>
      <c r="K87" s="70"/>
      <c r="L87" s="70"/>
      <c r="M87" s="70"/>
      <c r="N87" s="70"/>
      <c r="O87" s="70"/>
      <c r="P87" s="70"/>
      <c r="Q87" s="70"/>
      <c r="R87" s="70"/>
      <c r="S87" s="70"/>
      <c r="T87" s="78"/>
      <c r="U87" s="78"/>
      <c r="V87" s="78"/>
      <c r="W87" s="78"/>
      <c r="X87" s="78"/>
      <c r="AD87" s="86"/>
      <c r="AE87" s="86"/>
      <c r="AF87" s="86"/>
      <c r="AG87" s="79"/>
      <c r="AH87" s="86"/>
      <c r="AI87" s="79"/>
    </row>
    <row r="88" spans="1:35" s="77" customFormat="1" ht="30" customHeight="1" x14ac:dyDescent="0.25">
      <c r="A88" s="68">
        <v>156</v>
      </c>
      <c r="B88" s="69" t="str">
        <f t="shared" ca="1" si="23"/>
        <v>B.7.08</v>
      </c>
      <c r="C88" s="70">
        <f t="shared" ca="1" si="24"/>
        <v>5</v>
      </c>
      <c r="D88" s="20"/>
      <c r="E88" s="91" t="str">
        <f t="shared" ca="1" si="25"/>
        <v>B.7.08</v>
      </c>
      <c r="F88" s="72" t="str">
        <f t="shared" ca="1" si="26"/>
        <v>Does the research undertaken include discovery and assessment?</v>
      </c>
      <c r="G88" s="195" t="str">
        <f ca="1">VLOOKUP($A88,Assess_B_Reference,15,FALSE)</f>
        <v/>
      </c>
      <c r="H88" s="195">
        <f ca="1">(VLOOKUP(LEFT($B88,3),Targets_Lookup,5,FALSE))*VLOOKUP($A88,Weightings_Assessments,23,FALSE)</f>
        <v>12</v>
      </c>
      <c r="I88" s="72" t="str">
        <f ca="1">IF(VLOOKUP(A88,Assess_B_Reference,16,FALSE)=0,"",VLOOKUP(A88,Assess_B_Reference,16,FALSE))</f>
        <v/>
      </c>
      <c r="J88" s="70"/>
      <c r="K88" s="70"/>
      <c r="L88" s="70"/>
      <c r="M88" s="70"/>
      <c r="N88" s="70"/>
      <c r="O88" s="70"/>
      <c r="P88" s="70"/>
      <c r="Q88" s="70"/>
      <c r="R88" s="70"/>
      <c r="S88" s="70"/>
      <c r="T88" s="78"/>
      <c r="U88" s="106" t="str">
        <f t="shared" ref="U88:U95" ca="1" si="27">IF(AND(C88&gt;4,VLOOKUP(A88,Assess_B_Reference,34,FALSE)&lt;&gt;8),LEFT(B88,3),"")</f>
        <v>B.7</v>
      </c>
      <c r="V88" s="106">
        <f t="shared" ref="V88:V95" ca="1" si="28">VLOOKUP(A88,Weightings_Assessments,24,FALSE)</f>
        <v>3</v>
      </c>
      <c r="W88" s="106">
        <f t="shared" ref="W88:W95" ca="1" si="29">IF(VLOOKUP(A88,Assess_B_Reference,34,FALSE)=8,0,1)</f>
        <v>1</v>
      </c>
      <c r="X88" s="106">
        <f t="shared" ref="X88:X95" ca="1" si="30">W88*V88*4</f>
        <v>12</v>
      </c>
      <c r="Y88" s="77" t="str">
        <f t="shared" ref="Y88:Y95" ca="1" si="31">AG88&amp;U88</f>
        <v>B.7</v>
      </c>
      <c r="AD88" s="86"/>
      <c r="AE88" s="86"/>
      <c r="AF88" s="86"/>
      <c r="AG88" s="79"/>
      <c r="AH88" s="86"/>
      <c r="AI88" s="79"/>
    </row>
    <row r="89" spans="1:35" s="77" customFormat="1" ht="30" customHeight="1" x14ac:dyDescent="0.25">
      <c r="A89" s="68">
        <v>157</v>
      </c>
      <c r="B89" s="69" t="str">
        <f t="shared" ca="1" si="23"/>
        <v>B.8</v>
      </c>
      <c r="C89" s="70">
        <f t="shared" ca="1" si="24"/>
        <v>2</v>
      </c>
      <c r="D89" s="20"/>
      <c r="E89" s="111" t="str">
        <f t="shared" ca="1" si="25"/>
        <v>Step 8</v>
      </c>
      <c r="F89" s="108" t="str">
        <f t="shared" ca="1" si="26"/>
        <v>Identify and exploit vulnerabilities</v>
      </c>
      <c r="G89" s="193" t="str">
        <f ca="1">"Maturity level:  "&amp;O89</f>
        <v>Maturity level:  Level 1</v>
      </c>
      <c r="H89" s="194"/>
      <c r="I89" s="172"/>
      <c r="J89" s="107"/>
      <c r="K89" s="107"/>
      <c r="L89" s="107" t="str">
        <f ca="1">TEXT(B89,"0.0")</f>
        <v>B.8</v>
      </c>
      <c r="M89" s="106">
        <f ca="1">SUMIF(Y:Y,L89,G:G)/(SUMIF(Y:Y,L89,X:X))</f>
        <v>0</v>
      </c>
      <c r="N89" s="106" t="str">
        <f ca="1">HLOOKUP(M89*100,level_ref,2,TRUE)</f>
        <v>Level 1</v>
      </c>
      <c r="O89" s="106" t="str">
        <f ca="1">IF(ISERROR(N89),"",N89)</f>
        <v>Level 1</v>
      </c>
      <c r="P89" s="106">
        <f ca="1">HLOOKUP(M89*100,level_ref,3,TRUE)</f>
        <v>1</v>
      </c>
      <c r="Q89" s="106">
        <f ca="1">IF(ISERROR(P89),"",P89)</f>
        <v>1</v>
      </c>
      <c r="R89" s="106">
        <f ca="1">M89*5</f>
        <v>0</v>
      </c>
      <c r="S89" s="106"/>
      <c r="T89" s="106"/>
      <c r="U89" s="106" t="str">
        <f t="shared" ca="1" si="27"/>
        <v/>
      </c>
      <c r="V89" s="106">
        <f t="shared" ca="1" si="28"/>
        <v>0</v>
      </c>
      <c r="W89" s="106">
        <f t="shared" ca="1" si="29"/>
        <v>1</v>
      </c>
      <c r="X89" s="106">
        <f t="shared" ca="1" si="30"/>
        <v>0</v>
      </c>
      <c r="Y89" s="77" t="str">
        <f t="shared" ca="1" si="31"/>
        <v/>
      </c>
      <c r="AD89" s="86"/>
      <c r="AE89" s="86"/>
      <c r="AF89" s="86"/>
      <c r="AG89" s="79"/>
      <c r="AH89" s="86"/>
      <c r="AI89" s="79"/>
    </row>
    <row r="90" spans="1:35" s="77" customFormat="1" ht="30" customHeight="1" x14ac:dyDescent="0.25">
      <c r="A90" s="68">
        <v>158</v>
      </c>
      <c r="B90" s="69" t="str">
        <f t="shared" ca="1" si="23"/>
        <v>B.8.01</v>
      </c>
      <c r="C90" s="70">
        <f t="shared" ca="1" si="24"/>
        <v>5</v>
      </c>
      <c r="D90" s="20"/>
      <c r="E90" s="91" t="str">
        <f t="shared" ca="1" si="25"/>
        <v>B.8.01</v>
      </c>
      <c r="F90" s="72" t="str">
        <f t="shared" ca="1" si="26"/>
        <v>Do penetration tests identify a range of potential vulnerabilities in target systems?</v>
      </c>
      <c r="G90" s="195" t="str">
        <f t="shared" ref="G90:G95" ca="1" si="32">VLOOKUP($A90,Assess_B_Reference,15,FALSE)</f>
        <v/>
      </c>
      <c r="H90" s="195">
        <f t="shared" ref="H90:H95" ca="1" si="33">(VLOOKUP(LEFT($B90,3),Targets_Lookup,5,FALSE))*VLOOKUP($A90,Weightings_Assessments,23,FALSE)</f>
        <v>4</v>
      </c>
      <c r="I90" s="72" t="str">
        <f t="shared" ref="I90:I95" ca="1" si="34">IF(VLOOKUP(A90,Assess_B_Reference,16,FALSE)=0,"",VLOOKUP(A90,Assess_B_Reference,16,FALSE))</f>
        <v/>
      </c>
      <c r="J90" s="70"/>
      <c r="K90" s="70"/>
      <c r="L90" s="70"/>
      <c r="M90" s="70"/>
      <c r="N90" s="70"/>
      <c r="O90" s="70"/>
      <c r="P90" s="70"/>
      <c r="Q90" s="70"/>
      <c r="R90" s="70"/>
      <c r="S90" s="70"/>
      <c r="T90" s="78"/>
      <c r="U90" s="106" t="str">
        <f t="shared" ca="1" si="27"/>
        <v>B.8</v>
      </c>
      <c r="V90" s="106">
        <f t="shared" ca="1" si="28"/>
        <v>1</v>
      </c>
      <c r="W90" s="106">
        <f t="shared" ca="1" si="29"/>
        <v>1</v>
      </c>
      <c r="X90" s="106">
        <f t="shared" ca="1" si="30"/>
        <v>4</v>
      </c>
      <c r="Y90" s="77" t="str">
        <f t="shared" ca="1" si="31"/>
        <v>B.8</v>
      </c>
      <c r="AD90" s="86"/>
      <c r="AE90" s="86"/>
      <c r="AF90" s="86"/>
      <c r="AG90" s="79"/>
      <c r="AH90" s="86"/>
      <c r="AI90" s="79"/>
    </row>
    <row r="91" spans="1:35" s="77" customFormat="1" ht="60" x14ac:dyDescent="0.25">
      <c r="A91" s="68">
        <v>159</v>
      </c>
      <c r="B91" s="69" t="str">
        <f t="shared" ca="1" si="23"/>
        <v>B.8.02</v>
      </c>
      <c r="C91" s="70">
        <f t="shared" ca="1" si="24"/>
        <v>5</v>
      </c>
      <c r="D91" s="20"/>
      <c r="E91" s="91" t="str">
        <f t="shared" ca="1" si="25"/>
        <v>B.8.02</v>
      </c>
      <c r="F91" s="72" t="str">
        <f t="shared" ca="1" si="26"/>
        <v>Does vulnerability identification include testers examining: attack avenues, vectors and threat agents (e.g. using attack trees); results from threat analysis; technical system / network / application vulnerabilities; and control weaknesses</v>
      </c>
      <c r="G91" s="195" t="str">
        <f t="shared" ca="1" si="32"/>
        <v/>
      </c>
      <c r="H91" s="195">
        <f t="shared" ca="1" si="33"/>
        <v>16</v>
      </c>
      <c r="I91" s="72" t="str">
        <f t="shared" ca="1" si="34"/>
        <v/>
      </c>
      <c r="J91" s="70"/>
      <c r="K91" s="70"/>
      <c r="L91" s="70"/>
      <c r="M91" s="70"/>
      <c r="N91" s="70"/>
      <c r="O91" s="70"/>
      <c r="P91" s="70"/>
      <c r="Q91" s="70"/>
      <c r="R91" s="70"/>
      <c r="S91" s="70"/>
      <c r="T91" s="78"/>
      <c r="U91" s="106" t="str">
        <f t="shared" ca="1" si="27"/>
        <v>B.8</v>
      </c>
      <c r="V91" s="106">
        <f t="shared" ca="1" si="28"/>
        <v>4</v>
      </c>
      <c r="W91" s="106">
        <f t="shared" ca="1" si="29"/>
        <v>1</v>
      </c>
      <c r="X91" s="106">
        <f t="shared" ca="1" si="30"/>
        <v>16</v>
      </c>
      <c r="Y91" s="77" t="str">
        <f t="shared" ca="1" si="31"/>
        <v>B.8</v>
      </c>
      <c r="AD91" s="86"/>
      <c r="AE91" s="86"/>
      <c r="AF91" s="86"/>
      <c r="AG91" s="79"/>
      <c r="AH91" s="86"/>
      <c r="AI91" s="79"/>
    </row>
    <row r="92" spans="1:35" s="77" customFormat="1" ht="60" x14ac:dyDescent="0.25">
      <c r="A92" s="68">
        <v>160</v>
      </c>
      <c r="B92" s="69" t="str">
        <f t="shared" ca="1" si="23"/>
        <v>B.8.03</v>
      </c>
      <c r="C92" s="70">
        <f t="shared" ca="1" si="24"/>
        <v>5</v>
      </c>
      <c r="D92" s="20"/>
      <c r="E92" s="91" t="str">
        <f t="shared" ca="1" si="25"/>
        <v>B.8.03</v>
      </c>
      <c r="F92" s="72" t="str">
        <f t="shared" ca="1" si="26"/>
        <v>Do tests include reviewing vulnerabilities identified by third parties, such as the ‘OWASP Top Ten’, which presents a list of common security vulnerabilities found in web applications (i.e. injection attacks, cross-site scripting and failure to restrict URL access)?</v>
      </c>
      <c r="G92" s="195" t="str">
        <f t="shared" ca="1" si="32"/>
        <v/>
      </c>
      <c r="H92" s="195">
        <f t="shared" ca="1" si="33"/>
        <v>12</v>
      </c>
      <c r="I92" s="72" t="str">
        <f t="shared" ca="1" si="34"/>
        <v/>
      </c>
      <c r="J92" s="70"/>
      <c r="K92" s="70"/>
      <c r="L92" s="70"/>
      <c r="M92" s="70"/>
      <c r="N92" s="70"/>
      <c r="O92" s="70"/>
      <c r="P92" s="70"/>
      <c r="Q92" s="70"/>
      <c r="R92" s="70"/>
      <c r="S92" s="70"/>
      <c r="T92" s="78"/>
      <c r="U92" s="106" t="str">
        <f t="shared" ca="1" si="27"/>
        <v>B.8</v>
      </c>
      <c r="V92" s="106">
        <f t="shared" ca="1" si="28"/>
        <v>3</v>
      </c>
      <c r="W92" s="106">
        <f t="shared" ca="1" si="29"/>
        <v>1</v>
      </c>
      <c r="X92" s="106">
        <f t="shared" ca="1" si="30"/>
        <v>12</v>
      </c>
      <c r="Y92" s="77" t="str">
        <f t="shared" ca="1" si="31"/>
        <v>B.8</v>
      </c>
      <c r="AD92" s="86"/>
      <c r="AE92" s="86"/>
      <c r="AF92" s="86"/>
      <c r="AG92" s="79"/>
      <c r="AH92" s="86"/>
      <c r="AI92" s="79"/>
    </row>
    <row r="93" spans="1:35" s="77" customFormat="1" ht="45" x14ac:dyDescent="0.25">
      <c r="A93" s="68">
        <v>161</v>
      </c>
      <c r="B93" s="69" t="str">
        <f t="shared" ca="1" si="23"/>
        <v>B.8.04</v>
      </c>
      <c r="C93" s="70">
        <f t="shared" ca="1" si="24"/>
        <v>5</v>
      </c>
      <c r="D93" s="20"/>
      <c r="E93" s="91" t="str">
        <f t="shared" ca="1" si="25"/>
        <v>B.8.04</v>
      </c>
      <c r="F93" s="72" t="str">
        <f t="shared" ca="1" si="26"/>
        <v>Do tests include identifying the cause of any vulnerabilities discovered, for example resulting from a lack of understanding of IT security issues (e.g. by web developers and users of mobile devices)?</v>
      </c>
      <c r="G93" s="195" t="str">
        <f t="shared" ca="1" si="32"/>
        <v/>
      </c>
      <c r="H93" s="195">
        <f t="shared" ca="1" si="33"/>
        <v>16</v>
      </c>
      <c r="I93" s="72" t="str">
        <f t="shared" ca="1" si="34"/>
        <v/>
      </c>
      <c r="J93" s="70"/>
      <c r="K93" s="70"/>
      <c r="L93" s="70"/>
      <c r="M93" s="70"/>
      <c r="N93" s="70"/>
      <c r="O93" s="70"/>
      <c r="P93" s="70"/>
      <c r="Q93" s="70"/>
      <c r="R93" s="70"/>
      <c r="S93" s="70"/>
      <c r="T93" s="78"/>
      <c r="U93" s="106" t="str">
        <f t="shared" ca="1" si="27"/>
        <v>B.8</v>
      </c>
      <c r="V93" s="106">
        <f t="shared" ca="1" si="28"/>
        <v>4</v>
      </c>
      <c r="W93" s="106">
        <f t="shared" ca="1" si="29"/>
        <v>1</v>
      </c>
      <c r="X93" s="106">
        <f t="shared" ca="1" si="30"/>
        <v>16</v>
      </c>
      <c r="Y93" s="77" t="str">
        <f t="shared" ca="1" si="31"/>
        <v>B.8</v>
      </c>
      <c r="AD93" s="86"/>
      <c r="AE93" s="86"/>
      <c r="AF93" s="86"/>
      <c r="AG93" s="79"/>
      <c r="AH93" s="86"/>
      <c r="AI93" s="79"/>
    </row>
    <row r="94" spans="1:35" s="77" customFormat="1" ht="30" customHeight="1" x14ac:dyDescent="0.25">
      <c r="A94" s="68">
        <v>162</v>
      </c>
      <c r="B94" s="69" t="str">
        <f t="shared" ca="1" si="23"/>
        <v>B.8.05</v>
      </c>
      <c r="C94" s="70">
        <f t="shared" ca="1" si="24"/>
        <v>5</v>
      </c>
      <c r="D94" s="20"/>
      <c r="E94" s="91" t="str">
        <f t="shared" ca="1" si="25"/>
        <v>B.8.05</v>
      </c>
      <c r="F94" s="72" t="str">
        <f t="shared" ca="1" si="26"/>
        <v>Do penetration testers try to exploit the vulnerabilities identified and actually penetrate the target system?</v>
      </c>
      <c r="G94" s="195" t="str">
        <f t="shared" ca="1" si="32"/>
        <v/>
      </c>
      <c r="H94" s="195">
        <f t="shared" ca="1" si="33"/>
        <v>8</v>
      </c>
      <c r="I94" s="72" t="str">
        <f t="shared" ca="1" si="34"/>
        <v/>
      </c>
      <c r="J94" s="70"/>
      <c r="K94" s="70"/>
      <c r="L94" s="70"/>
      <c r="M94" s="70"/>
      <c r="N94" s="70"/>
      <c r="O94" s="70"/>
      <c r="P94" s="70"/>
      <c r="Q94" s="70"/>
      <c r="R94" s="70"/>
      <c r="S94" s="70"/>
      <c r="T94" s="78"/>
      <c r="U94" s="106" t="str">
        <f t="shared" ca="1" si="27"/>
        <v>B.8</v>
      </c>
      <c r="V94" s="106">
        <f t="shared" ca="1" si="28"/>
        <v>2</v>
      </c>
      <c r="W94" s="106">
        <f t="shared" ca="1" si="29"/>
        <v>1</v>
      </c>
      <c r="X94" s="106">
        <f t="shared" ca="1" si="30"/>
        <v>8</v>
      </c>
      <c r="Y94" s="77" t="str">
        <f t="shared" ca="1" si="31"/>
        <v>B.8</v>
      </c>
      <c r="AD94" s="86"/>
      <c r="AE94" s="86"/>
      <c r="AF94" s="86"/>
      <c r="AG94" s="79"/>
      <c r="AH94" s="86"/>
      <c r="AI94" s="79"/>
    </row>
    <row r="95" spans="1:35" s="77" customFormat="1" ht="45" x14ac:dyDescent="0.25">
      <c r="A95" s="68">
        <v>163</v>
      </c>
      <c r="B95" s="69" t="str">
        <f t="shared" ca="1" si="23"/>
        <v>B.8.06</v>
      </c>
      <c r="C95" s="70">
        <f t="shared" ca="1" si="24"/>
        <v>5</v>
      </c>
      <c r="D95" s="20"/>
      <c r="E95" s="91" t="str">
        <f t="shared" ca="1" si="25"/>
        <v>B.8.06</v>
      </c>
      <c r="F95" s="72" t="str">
        <f t="shared" ca="1" si="26"/>
        <v>Do testers use a range of techniques (e.g. exploitation frameworks, stand-alone exploits, and other tactics) to try and take advantage of specific weaknesses?</v>
      </c>
      <c r="G95" s="195" t="str">
        <f t="shared" ca="1" si="32"/>
        <v/>
      </c>
      <c r="H95" s="195">
        <f t="shared" ca="1" si="33"/>
        <v>20</v>
      </c>
      <c r="I95" s="72" t="str">
        <f t="shared" ca="1" si="34"/>
        <v/>
      </c>
      <c r="J95" s="70"/>
      <c r="K95" s="70"/>
      <c r="L95" s="70"/>
      <c r="M95" s="70"/>
      <c r="N95" s="70"/>
      <c r="O95" s="70"/>
      <c r="P95" s="70"/>
      <c r="Q95" s="70"/>
      <c r="R95" s="70"/>
      <c r="S95" s="70"/>
      <c r="T95" s="78"/>
      <c r="U95" s="106" t="str">
        <f t="shared" ca="1" si="27"/>
        <v>B.8</v>
      </c>
      <c r="V95" s="106">
        <f t="shared" ca="1" si="28"/>
        <v>5</v>
      </c>
      <c r="W95" s="106">
        <f t="shared" ca="1" si="29"/>
        <v>1</v>
      </c>
      <c r="X95" s="106">
        <f t="shared" ca="1" si="30"/>
        <v>20</v>
      </c>
      <c r="Y95" s="77" t="str">
        <f t="shared" ca="1" si="31"/>
        <v>B.8</v>
      </c>
      <c r="AD95" s="86"/>
      <c r="AE95" s="86"/>
      <c r="AF95" s="86"/>
      <c r="AG95" s="79"/>
      <c r="AH95" s="86"/>
      <c r="AI95" s="79"/>
    </row>
    <row r="96" spans="1:35" s="77" customFormat="1" ht="105" x14ac:dyDescent="0.25">
      <c r="A96" s="68">
        <v>164</v>
      </c>
      <c r="B96" s="69" t="str">
        <f t="shared" ca="1" si="23"/>
        <v/>
      </c>
      <c r="C96" s="70">
        <f t="shared" ca="1" si="24"/>
        <v>3</v>
      </c>
      <c r="D96" s="20"/>
      <c r="E96" s="91" t="str">
        <f t="shared" ca="1" si="25"/>
        <v/>
      </c>
      <c r="F96" s="166" t="str">
        <f t="shared" ca="1" si="26"/>
        <v>Exploitation techniques include: specific Exploit techniques (e.g. for web applications); Escalation techniques, gaining further access within a target, once an initial level of access has been obtained; advancement techniques, attempting to move on from the compromised target to find other vulnerable systems; and analysis techniques, verifying the raw data to ensure that the test has been thorough and comprehensive.</v>
      </c>
      <c r="G96" s="85"/>
      <c r="H96" s="85"/>
      <c r="I96" s="72"/>
      <c r="J96" s="70"/>
      <c r="K96" s="70"/>
      <c r="L96" s="70"/>
      <c r="M96" s="70"/>
      <c r="N96" s="70"/>
      <c r="O96" s="70"/>
      <c r="P96" s="70"/>
      <c r="Q96" s="70"/>
      <c r="R96" s="70"/>
      <c r="S96" s="70"/>
      <c r="T96" s="78"/>
      <c r="U96" s="78"/>
      <c r="V96" s="78"/>
      <c r="W96" s="78"/>
      <c r="X96" s="78"/>
      <c r="AD96" s="86"/>
      <c r="AE96" s="86"/>
      <c r="AF96" s="86"/>
      <c r="AG96" s="79"/>
      <c r="AH96" s="86"/>
      <c r="AI96" s="79"/>
    </row>
    <row r="97" spans="1:35" s="77" customFormat="1" ht="30" customHeight="1" x14ac:dyDescent="0.25">
      <c r="A97" s="68">
        <v>165</v>
      </c>
      <c r="B97" s="69" t="str">
        <f t="shared" ca="1" si="23"/>
        <v>B.9</v>
      </c>
      <c r="C97" s="70">
        <f t="shared" ca="1" si="24"/>
        <v>2</v>
      </c>
      <c r="D97" s="20"/>
      <c r="E97" s="111" t="str">
        <f t="shared" ca="1" si="25"/>
        <v>Step 9</v>
      </c>
      <c r="F97" s="108" t="str">
        <f t="shared" ca="1" si="26"/>
        <v>Report key findings</v>
      </c>
      <c r="G97" s="193" t="str">
        <f ca="1">"Maturity level:  "&amp;O97</f>
        <v>Maturity level:  Level 1</v>
      </c>
      <c r="H97" s="194"/>
      <c r="I97" s="172"/>
      <c r="J97" s="107"/>
      <c r="K97" s="107"/>
      <c r="L97" s="107" t="str">
        <f ca="1">TEXT(B97,"0.0")</f>
        <v>B.9</v>
      </c>
      <c r="M97" s="106">
        <f ca="1">SUMIF(Y:Y,L97,G:G)/(SUMIF(Y:Y,L97,X:X))</f>
        <v>0</v>
      </c>
      <c r="N97" s="106" t="str">
        <f ca="1">HLOOKUP(M97*100,level_ref,2,TRUE)</f>
        <v>Level 1</v>
      </c>
      <c r="O97" s="106" t="str">
        <f ca="1">IF(ISERROR(N97),"",N97)</f>
        <v>Level 1</v>
      </c>
      <c r="P97" s="106">
        <f ca="1">HLOOKUP(M97*100,level_ref,3,TRUE)</f>
        <v>1</v>
      </c>
      <c r="Q97" s="106">
        <f ca="1">IF(ISERROR(P97),"",P97)</f>
        <v>1</v>
      </c>
      <c r="R97" s="106">
        <f ca="1">M97*5</f>
        <v>0</v>
      </c>
      <c r="S97" s="106"/>
      <c r="T97" s="106"/>
      <c r="U97" s="106" t="str">
        <f ca="1">IF(AND(C97&gt;4,VLOOKUP(A97,Assess_B_Reference,34,FALSE)&lt;&gt;8),LEFT(B97,3),"")</f>
        <v/>
      </c>
      <c r="V97" s="106">
        <f ca="1">VLOOKUP(A97,Weightings_Assessments,24,FALSE)</f>
        <v>0</v>
      </c>
      <c r="W97" s="106">
        <f ca="1">IF(VLOOKUP(A97,Assess_B_Reference,34,FALSE)=8,0,1)</f>
        <v>1</v>
      </c>
      <c r="X97" s="106">
        <f ca="1">W97*V97*4</f>
        <v>0</v>
      </c>
      <c r="Y97" s="77" t="str">
        <f ca="1">AG97&amp;U97</f>
        <v/>
      </c>
      <c r="AD97" s="86"/>
      <c r="AE97" s="86"/>
      <c r="AF97" s="86"/>
      <c r="AG97" s="79"/>
      <c r="AH97" s="86"/>
      <c r="AI97" s="79"/>
    </row>
    <row r="98" spans="1:35" s="77" customFormat="1" ht="60" x14ac:dyDescent="0.25">
      <c r="A98" s="68">
        <v>166</v>
      </c>
      <c r="B98" s="69" t="str">
        <f t="shared" ca="1" si="23"/>
        <v>B.9.01</v>
      </c>
      <c r="C98" s="70">
        <f t="shared" ca="1" si="24"/>
        <v>5</v>
      </c>
      <c r="D98" s="20"/>
      <c r="E98" s="91" t="str">
        <f t="shared" ca="1" si="25"/>
        <v>B.9.01</v>
      </c>
      <c r="F98" s="72" t="str">
        <f t="shared" ca="1" si="26"/>
        <v>Are findings identified during the penetration test reported to your organisation in both technical terms that can be acted upon and non-technical, business context, so that the justifications for the corrective actions are understood; as well as in a formal report?</v>
      </c>
      <c r="G98" s="195" t="str">
        <f ca="1">VLOOKUP($A98,Assess_B_Reference,15,FALSE)</f>
        <v/>
      </c>
      <c r="H98" s="195">
        <f ca="1">(VLOOKUP(LEFT($B98,3),Targets_Lookup,5,FALSE))*VLOOKUP($A98,Weightings_Assessments,23,FALSE)</f>
        <v>4</v>
      </c>
      <c r="I98" s="72" t="str">
        <f ca="1">IF(VLOOKUP(A98,Assess_B_Reference,16,FALSE)=0,"",VLOOKUP(A98,Assess_B_Reference,16,FALSE))</f>
        <v/>
      </c>
      <c r="J98" s="70"/>
      <c r="K98" s="70"/>
      <c r="L98" s="70"/>
      <c r="M98" s="70"/>
      <c r="N98" s="70"/>
      <c r="O98" s="70"/>
      <c r="P98" s="70"/>
      <c r="Q98" s="70"/>
      <c r="R98" s="70"/>
      <c r="S98" s="70"/>
      <c r="T98" s="78"/>
      <c r="U98" s="106" t="str">
        <f ca="1">IF(AND(C98&gt;4,VLOOKUP(A98,Assess_B_Reference,34,FALSE)&lt;&gt;8),LEFT(B98,3),"")</f>
        <v>B.9</v>
      </c>
      <c r="V98" s="106">
        <f ca="1">VLOOKUP(A98,Weightings_Assessments,24,FALSE)</f>
        <v>1</v>
      </c>
      <c r="W98" s="106">
        <f ca="1">IF(VLOOKUP(A98,Assess_B_Reference,34,FALSE)=8,0,1)</f>
        <v>1</v>
      </c>
      <c r="X98" s="106">
        <f ca="1">W98*V98*4</f>
        <v>4</v>
      </c>
      <c r="Y98" s="77" t="str">
        <f ca="1">AG98&amp;U98</f>
        <v>B.9</v>
      </c>
      <c r="AD98" s="86"/>
      <c r="AE98" s="86"/>
      <c r="AF98" s="86"/>
      <c r="AG98" s="79"/>
      <c r="AH98" s="86"/>
      <c r="AI98" s="79"/>
    </row>
    <row r="99" spans="1:35" s="77" customFormat="1" ht="30" customHeight="1" x14ac:dyDescent="0.25">
      <c r="A99" s="68">
        <v>167</v>
      </c>
      <c r="B99" s="69" t="str">
        <f t="shared" ca="1" si="23"/>
        <v>B.9.02</v>
      </c>
      <c r="C99" s="70">
        <f t="shared" ca="1" si="24"/>
        <v>5</v>
      </c>
      <c r="D99" s="20"/>
      <c r="E99" s="91" t="str">
        <f t="shared" ca="1" si="25"/>
        <v>B.9.02</v>
      </c>
      <c r="F99" s="72" t="str">
        <f t="shared" ca="1" si="26"/>
        <v>Do penetration testing reports describe the vulnerabilities found?</v>
      </c>
      <c r="G99" s="195" t="str">
        <f ca="1">VLOOKUP($A99,Assess_B_Reference,15,FALSE)</f>
        <v/>
      </c>
      <c r="H99" s="195">
        <f ca="1">(VLOOKUP(LEFT($B99,3),Targets_Lookup,5,FALSE))*VLOOKUP($A99,Weightings_Assessments,23,FALSE)</f>
        <v>16</v>
      </c>
      <c r="I99" s="72" t="str">
        <f ca="1">IF(VLOOKUP(A99,Assess_B_Reference,16,FALSE)=0,"",VLOOKUP(A99,Assess_B_Reference,16,FALSE))</f>
        <v/>
      </c>
      <c r="J99" s="70"/>
      <c r="K99" s="70"/>
      <c r="L99" s="70"/>
      <c r="M99" s="70"/>
      <c r="N99" s="70"/>
      <c r="O99" s="70"/>
      <c r="P99" s="70"/>
      <c r="Q99" s="70"/>
      <c r="R99" s="70"/>
      <c r="S99" s="70"/>
      <c r="T99" s="78"/>
      <c r="U99" s="106" t="str">
        <f ca="1">IF(AND(C99&gt;4,VLOOKUP(A99,Assess_B_Reference,34,FALSE)&lt;&gt;8),LEFT(B99,3),"")</f>
        <v>B.9</v>
      </c>
      <c r="V99" s="106">
        <f ca="1">VLOOKUP(A99,Weightings_Assessments,24,FALSE)</f>
        <v>4</v>
      </c>
      <c r="W99" s="106">
        <f ca="1">IF(VLOOKUP(A99,Assess_B_Reference,34,FALSE)=8,0,1)</f>
        <v>1</v>
      </c>
      <c r="X99" s="106">
        <f ca="1">W99*V99*4</f>
        <v>16</v>
      </c>
      <c r="Y99" s="77" t="str">
        <f ca="1">AG99&amp;U99</f>
        <v>B.9</v>
      </c>
      <c r="AD99" s="86"/>
      <c r="AE99" s="86"/>
      <c r="AF99" s="86"/>
      <c r="AG99" s="79"/>
      <c r="AH99" s="86"/>
      <c r="AI99" s="79"/>
    </row>
    <row r="100" spans="1:35" s="77" customFormat="1" ht="75" x14ac:dyDescent="0.25">
      <c r="A100" s="68">
        <v>168</v>
      </c>
      <c r="B100" s="69" t="str">
        <f t="shared" ca="1" si="23"/>
        <v/>
      </c>
      <c r="C100" s="70">
        <f t="shared" ca="1" si="24"/>
        <v>3</v>
      </c>
      <c r="D100" s="20"/>
      <c r="E100" s="91" t="str">
        <f t="shared" ca="1" si="25"/>
        <v/>
      </c>
      <c r="F100" s="166" t="str">
        <f t="shared" ca="1" si="26"/>
        <v>Penetration testing reports should describe the vulnerabilities found by including: test narrative – describing the process that the tester used to achieve particular results; test evidence – results of automated testing tools and screen shots of successful exploits; and details about the associated technical risks (and how to address them).</v>
      </c>
      <c r="G100" s="85"/>
      <c r="H100" s="85"/>
      <c r="I100" s="72"/>
      <c r="J100" s="70"/>
      <c r="K100" s="70"/>
      <c r="L100" s="70"/>
      <c r="M100" s="70"/>
      <c r="N100" s="70"/>
      <c r="O100" s="70"/>
      <c r="P100" s="70"/>
      <c r="Q100" s="70"/>
      <c r="R100" s="70"/>
      <c r="S100" s="70"/>
      <c r="T100" s="78"/>
      <c r="U100" s="78"/>
      <c r="V100" s="78"/>
      <c r="W100" s="78"/>
      <c r="X100" s="78"/>
      <c r="AD100" s="86"/>
      <c r="AE100" s="86"/>
      <c r="AF100" s="86"/>
      <c r="AG100" s="79"/>
      <c r="AH100" s="86"/>
      <c r="AI100" s="79"/>
    </row>
    <row r="101" spans="1:35" s="77" customFormat="1" ht="30" customHeight="1" x14ac:dyDescent="0.25">
      <c r="A101" s="68">
        <v>169</v>
      </c>
      <c r="B101" s="69" t="str">
        <f t="shared" ca="1" si="23"/>
        <v>B.9.03</v>
      </c>
      <c r="C101" s="70">
        <f t="shared" ca="1" si="24"/>
        <v>5</v>
      </c>
      <c r="D101" s="20"/>
      <c r="E101" s="91" t="str">
        <f t="shared" ca="1" si="25"/>
        <v>B.9.03</v>
      </c>
      <c r="F101" s="72" t="str">
        <f t="shared" ca="1" si="26"/>
        <v>Are penetration testing reports used to present remediation activities undertaken and the root causes of issues identified?</v>
      </c>
      <c r="G101" s="195" t="str">
        <f ca="1">VLOOKUP($A101,Assess_B_Reference,15,FALSE)</f>
        <v/>
      </c>
      <c r="H101" s="195">
        <f ca="1">(VLOOKUP(LEFT($B101,3),Targets_Lookup,5,FALSE))*VLOOKUP($A101,Weightings_Assessments,23,FALSE)</f>
        <v>16</v>
      </c>
      <c r="I101" s="72" t="str">
        <f ca="1">IF(VLOOKUP(A101,Assess_B_Reference,16,FALSE)=0,"",VLOOKUP(A101,Assess_B_Reference,16,FALSE))</f>
        <v/>
      </c>
      <c r="J101" s="70"/>
      <c r="K101" s="70"/>
      <c r="L101" s="70"/>
      <c r="M101" s="70"/>
      <c r="N101" s="70"/>
      <c r="O101" s="70"/>
      <c r="P101" s="70"/>
      <c r="Q101" s="70"/>
      <c r="R101" s="70"/>
      <c r="S101" s="70"/>
      <c r="T101" s="78"/>
      <c r="U101" s="106" t="str">
        <f ca="1">IF(AND(C101&gt;4,VLOOKUP(A101,Assess_B_Reference,34,FALSE)&lt;&gt;8),LEFT(B101,3),"")</f>
        <v>B.9</v>
      </c>
      <c r="V101" s="106">
        <f ca="1">VLOOKUP(A101,Weightings_Assessments,24,FALSE)</f>
        <v>4</v>
      </c>
      <c r="W101" s="106">
        <f ca="1">IF(VLOOKUP(A101,Assess_B_Reference,34,FALSE)=8,0,1)</f>
        <v>1</v>
      </c>
      <c r="X101" s="106">
        <f ca="1">W101*V101*4</f>
        <v>16</v>
      </c>
      <c r="Y101" s="77" t="str">
        <f ca="1">AG101&amp;U101</f>
        <v>B.9</v>
      </c>
      <c r="AD101" s="86"/>
      <c r="AE101" s="86"/>
      <c r="AF101" s="86"/>
      <c r="AG101" s="79"/>
      <c r="AH101" s="86"/>
      <c r="AI101" s="79"/>
    </row>
    <row r="102" spans="1:35" s="77" customFormat="1" ht="30" customHeight="1" x14ac:dyDescent="0.25">
      <c r="A102" s="68">
        <v>170</v>
      </c>
      <c r="B102" s="69" t="str">
        <f t="shared" ca="1" si="23"/>
        <v>B.9.04</v>
      </c>
      <c r="C102" s="70">
        <f t="shared" ca="1" si="24"/>
        <v>5</v>
      </c>
      <c r="D102" s="20"/>
      <c r="E102" s="91" t="str">
        <f t="shared" ca="1" si="25"/>
        <v>B.9.04</v>
      </c>
      <c r="F102" s="72" t="str">
        <f t="shared" ca="1" si="26"/>
        <v>Are penetration testing reports disseminated to relevant staff - and acted upon?</v>
      </c>
      <c r="G102" s="195" t="str">
        <f ca="1">VLOOKUP($A102,Assess_B_Reference,15,FALSE)</f>
        <v/>
      </c>
      <c r="H102" s="195">
        <f ca="1">(VLOOKUP(LEFT($B102,3),Targets_Lookup,5,FALSE))*VLOOKUP($A102,Weightings_Assessments,23,FALSE)</f>
        <v>12</v>
      </c>
      <c r="I102" s="72" t="str">
        <f ca="1">IF(VLOOKUP(A102,Assess_B_Reference,16,FALSE)=0,"",VLOOKUP(A102,Assess_B_Reference,16,FALSE))</f>
        <v/>
      </c>
      <c r="J102" s="70"/>
      <c r="K102" s="70"/>
      <c r="L102" s="70"/>
      <c r="M102" s="70"/>
      <c r="N102" s="70"/>
      <c r="O102" s="70"/>
      <c r="P102" s="70"/>
      <c r="Q102" s="70"/>
      <c r="R102" s="70"/>
      <c r="S102" s="70"/>
      <c r="T102" s="78"/>
      <c r="U102" s="106" t="str">
        <f ca="1">IF(AND(C102&gt;4,VLOOKUP(A102,Assess_B_Reference,34,FALSE)&lt;&gt;8),LEFT(B102,3),"")</f>
        <v>B.9</v>
      </c>
      <c r="V102" s="106">
        <f ca="1">VLOOKUP(A102,Weightings_Assessments,24,FALSE)</f>
        <v>3</v>
      </c>
      <c r="W102" s="106">
        <f ca="1">IF(VLOOKUP(A102,Assess_B_Reference,34,FALSE)=8,0,1)</f>
        <v>1</v>
      </c>
      <c r="X102" s="106">
        <f ca="1">W102*V102*4</f>
        <v>12</v>
      </c>
      <c r="Y102" s="77" t="str">
        <f ca="1">AG102&amp;U102</f>
        <v>B.9</v>
      </c>
      <c r="AD102" s="86"/>
      <c r="AE102" s="86"/>
      <c r="AF102" s="86"/>
      <c r="AG102" s="79"/>
      <c r="AH102" s="86"/>
      <c r="AI102" s="79"/>
    </row>
    <row r="103" spans="1:35" s="77" customFormat="1" ht="30" customHeight="1" x14ac:dyDescent="0.25">
      <c r="A103" s="68">
        <v>171</v>
      </c>
      <c r="B103" s="69" t="str">
        <f t="shared" ca="1" si="23"/>
        <v>B.9.05</v>
      </c>
      <c r="C103" s="70">
        <f t="shared" ca="1" si="24"/>
        <v>5</v>
      </c>
      <c r="D103" s="20"/>
      <c r="E103" s="91" t="str">
        <f t="shared" ca="1" si="25"/>
        <v>B.9.05</v>
      </c>
      <c r="F103" s="72" t="str">
        <f t="shared" ca="1" si="26"/>
        <v>Does test reporting include a comprehensive presentation from your service provider about the key findings identified?</v>
      </c>
      <c r="G103" s="195" t="str">
        <f ca="1">VLOOKUP($A103,Assess_B_Reference,15,FALSE)</f>
        <v/>
      </c>
      <c r="H103" s="195">
        <f ca="1">(VLOOKUP(LEFT($B103,3),Targets_Lookup,5,FALSE))*VLOOKUP($A103,Weightings_Assessments,23,FALSE)</f>
        <v>20</v>
      </c>
      <c r="I103" s="72" t="str">
        <f ca="1">IF(VLOOKUP(A103,Assess_B_Reference,16,FALSE)=0,"",VLOOKUP(A103,Assess_B_Reference,16,FALSE))</f>
        <v/>
      </c>
      <c r="J103" s="70"/>
      <c r="K103" s="70"/>
      <c r="L103" s="70"/>
      <c r="M103" s="70"/>
      <c r="N103" s="70"/>
      <c r="O103" s="70"/>
      <c r="P103" s="70"/>
      <c r="Q103" s="70"/>
      <c r="R103" s="70"/>
      <c r="S103" s="70"/>
      <c r="T103" s="78"/>
      <c r="U103" s="106" t="str">
        <f ca="1">IF(AND(C103&gt;4,VLOOKUP(A103,Assess_B_Reference,34,FALSE)&lt;&gt;8),LEFT(B103,3),"")</f>
        <v>B.9</v>
      </c>
      <c r="V103" s="106">
        <f ca="1">VLOOKUP(A103,Weightings_Assessments,24,FALSE)</f>
        <v>5</v>
      </c>
      <c r="W103" s="106">
        <f ca="1">IF(VLOOKUP(A103,Assess_B_Reference,34,FALSE)=8,0,1)</f>
        <v>1</v>
      </c>
      <c r="X103" s="106">
        <f ca="1">W103*V103*4</f>
        <v>20</v>
      </c>
      <c r="Y103" s="77" t="str">
        <f ca="1">AG103&amp;U103</f>
        <v>B.9</v>
      </c>
      <c r="AD103" s="86"/>
      <c r="AE103" s="86"/>
      <c r="AF103" s="86"/>
      <c r="AG103" s="79"/>
      <c r="AH103" s="86"/>
      <c r="AI103" s="79"/>
    </row>
    <row r="104" spans="1:35" s="77" customFormat="1" ht="60" x14ac:dyDescent="0.25">
      <c r="A104" s="68">
        <v>172</v>
      </c>
      <c r="B104" s="69" t="str">
        <f t="shared" ref="B104" ca="1" si="35">VLOOKUP(A104,Contents_Text,2,FALSE)</f>
        <v/>
      </c>
      <c r="C104" s="70">
        <f t="shared" ca="1" si="24"/>
        <v>3</v>
      </c>
      <c r="D104" s="20"/>
      <c r="E104" s="91" t="str">
        <f t="shared" ca="1" si="25"/>
        <v/>
      </c>
      <c r="F104" s="166" t="str">
        <f t="shared" ca="1" si="26"/>
        <v>The presentation about test findings identified should provide details about: how testers found the vulnerabilities; what could be the outcome of each vulnerability; the level of risk to the business for each vulnerability; and advice on how to remediate each vulnerability.</v>
      </c>
      <c r="G104" s="85"/>
      <c r="H104" s="85"/>
      <c r="I104" s="72"/>
      <c r="J104" s="70"/>
      <c r="K104" s="70"/>
      <c r="L104" s="70"/>
      <c r="M104" s="70"/>
      <c r="N104" s="70"/>
      <c r="O104" s="70"/>
      <c r="P104" s="70"/>
      <c r="Q104" s="70"/>
      <c r="R104" s="70"/>
      <c r="S104" s="70"/>
      <c r="T104" s="78"/>
      <c r="U104" s="78"/>
      <c r="V104" s="78"/>
      <c r="W104" s="78"/>
      <c r="X104" s="78"/>
      <c r="AD104" s="86"/>
      <c r="AE104" s="86"/>
      <c r="AF104" s="86"/>
      <c r="AG104" s="79"/>
      <c r="AH104" s="86"/>
      <c r="AI104" s="79"/>
    </row>
  </sheetData>
  <sheetProtection algorithmName="SHA-512" hashValue="ov87NqiKoEuNgb46BdYVcp2vcBKNawaiRGKKp16Lv9eOeF+vE5jHseNR0a5bPEmaYTwZP0xZ9HC4yl0BN+VRaQ==" saltValue="e1RxAKsFt/WEMqOQxt/Qxg==" spinCount="100000" sheet="1" objects="1" scenarios="1"/>
  <sortState xmlns:xlrd2="http://schemas.microsoft.com/office/spreadsheetml/2017/richdata2" ref="A8:AI108">
    <sortCondition ref="A8:A108"/>
  </sortState>
  <mergeCells count="2">
    <mergeCell ref="F2:I3"/>
    <mergeCell ref="F4:I5"/>
  </mergeCells>
  <conditionalFormatting sqref="G66:G104 G33">
    <cfRule type="dataBar" priority="22">
      <dataBar>
        <cfvo type="num" val="0"/>
        <cfvo type="num" val="20"/>
        <color rgb="FF638EC6"/>
      </dataBar>
      <extLst>
        <ext xmlns:x14="http://schemas.microsoft.com/office/spreadsheetml/2009/9/main" uri="{B025F937-C7B1-47D3-B67F-A62EFF666E3E}">
          <x14:id>{4DF60AD2-43B1-4831-94E2-6D72C31A6850}</x14:id>
        </ext>
      </extLst>
    </cfRule>
  </conditionalFormatting>
  <conditionalFormatting sqref="H66:H104 H33">
    <cfRule type="dataBar" priority="21">
      <dataBar>
        <cfvo type="num" val="0"/>
        <cfvo type="num" val="20"/>
        <color rgb="FF00B050"/>
      </dataBar>
      <extLst>
        <ext xmlns:x14="http://schemas.microsoft.com/office/spreadsheetml/2009/9/main" uri="{B025F937-C7B1-47D3-B67F-A62EFF666E3E}">
          <x14:id>{B3F780A8-D668-417E-9052-F18192503266}</x14:id>
        </ext>
      </extLst>
    </cfRule>
  </conditionalFormatting>
  <conditionalFormatting sqref="G17:G43">
    <cfRule type="dataBar" priority="20">
      <dataBar>
        <cfvo type="num" val="0"/>
        <cfvo type="num" val="20"/>
        <color rgb="FF638EC6"/>
      </dataBar>
      <extLst>
        <ext xmlns:x14="http://schemas.microsoft.com/office/spreadsheetml/2009/9/main" uri="{B025F937-C7B1-47D3-B67F-A62EFF666E3E}">
          <x14:id>{865B3974-81E6-471A-A255-7C4CCE1614B9}</x14:id>
        </ext>
      </extLst>
    </cfRule>
  </conditionalFormatting>
  <conditionalFormatting sqref="H17:H43">
    <cfRule type="dataBar" priority="19">
      <dataBar>
        <cfvo type="num" val="0"/>
        <cfvo type="num" val="20"/>
        <color rgb="FF00B050"/>
      </dataBar>
      <extLst>
        <ext xmlns:x14="http://schemas.microsoft.com/office/spreadsheetml/2009/9/main" uri="{B025F937-C7B1-47D3-B67F-A62EFF666E3E}">
          <x14:id>{D24D2C5B-FB53-4F08-9341-AEB5CD185201}</x14:id>
        </ext>
      </extLst>
    </cfRule>
  </conditionalFormatting>
  <conditionalFormatting sqref="G34:G44">
    <cfRule type="dataBar" priority="18">
      <dataBar>
        <cfvo type="num" val="0"/>
        <cfvo type="num" val="20"/>
        <color rgb="FF638EC6"/>
      </dataBar>
      <extLst>
        <ext xmlns:x14="http://schemas.microsoft.com/office/spreadsheetml/2009/9/main" uri="{B025F937-C7B1-47D3-B67F-A62EFF666E3E}">
          <x14:id>{0BBCC174-9E2C-46CF-A003-3B269CADEEDE}</x14:id>
        </ext>
      </extLst>
    </cfRule>
  </conditionalFormatting>
  <conditionalFormatting sqref="H34:H44">
    <cfRule type="dataBar" priority="17">
      <dataBar>
        <cfvo type="num" val="0"/>
        <cfvo type="num" val="20"/>
        <color rgb="FF00B050"/>
      </dataBar>
      <extLst>
        <ext xmlns:x14="http://schemas.microsoft.com/office/spreadsheetml/2009/9/main" uri="{B025F937-C7B1-47D3-B67F-A62EFF666E3E}">
          <x14:id>{597316DB-D392-42C5-BCC7-DFE01C2361C8}</x14:id>
        </ext>
      </extLst>
    </cfRule>
  </conditionalFormatting>
  <conditionalFormatting sqref="G16">
    <cfRule type="dataBar" priority="8">
      <dataBar>
        <cfvo type="num" val="0"/>
        <cfvo type="num" val="20"/>
        <color rgb="FF638EC6"/>
      </dataBar>
      <extLst>
        <ext xmlns:x14="http://schemas.microsoft.com/office/spreadsheetml/2009/9/main" uri="{B025F937-C7B1-47D3-B67F-A62EFF666E3E}">
          <x14:id>{1F67C232-9960-469A-9A2B-E61A09AF1A1A}</x14:id>
        </ext>
      </extLst>
    </cfRule>
  </conditionalFormatting>
  <conditionalFormatting sqref="H16">
    <cfRule type="dataBar" priority="7">
      <dataBar>
        <cfvo type="num" val="0"/>
        <cfvo type="num" val="20"/>
        <color rgb="FF00B050"/>
      </dataBar>
      <extLst>
        <ext xmlns:x14="http://schemas.microsoft.com/office/spreadsheetml/2009/9/main" uri="{B025F937-C7B1-47D3-B67F-A62EFF666E3E}">
          <x14:id>{D41756A5-7D85-4547-8E96-C7BD72BBC0C1}</x14:id>
        </ext>
      </extLst>
    </cfRule>
  </conditionalFormatting>
  <conditionalFormatting sqref="G9:G14">
    <cfRule type="dataBar" priority="6">
      <dataBar>
        <cfvo type="num" val="0"/>
        <cfvo type="num" val="20"/>
        <color rgb="FF638EC6"/>
      </dataBar>
      <extLst>
        <ext xmlns:x14="http://schemas.microsoft.com/office/spreadsheetml/2009/9/main" uri="{B025F937-C7B1-47D3-B67F-A62EFF666E3E}">
          <x14:id>{ABFBCAAE-1A38-482C-8E62-03E5DD48115B}</x14:id>
        </ext>
      </extLst>
    </cfRule>
  </conditionalFormatting>
  <conditionalFormatting sqref="H9:H14">
    <cfRule type="dataBar" priority="5">
      <dataBar>
        <cfvo type="num" val="0"/>
        <cfvo type="num" val="20"/>
        <color rgb="FF00B050"/>
      </dataBar>
      <extLst>
        <ext xmlns:x14="http://schemas.microsoft.com/office/spreadsheetml/2009/9/main" uri="{B025F937-C7B1-47D3-B67F-A62EFF666E3E}">
          <x14:id>{47D99D9E-E248-4DCC-91B1-2AA5E2F9F3F3}</x14:id>
        </ext>
      </extLst>
    </cfRule>
  </conditionalFormatting>
  <conditionalFormatting sqref="G45:G62 G64">
    <cfRule type="dataBar" priority="10">
      <dataBar>
        <cfvo type="num" val="0"/>
        <cfvo type="num" val="20"/>
        <color rgb="FF638EC6"/>
      </dataBar>
      <extLst>
        <ext xmlns:x14="http://schemas.microsoft.com/office/spreadsheetml/2009/9/main" uri="{B025F937-C7B1-47D3-B67F-A62EFF666E3E}">
          <x14:id>{11BE5EC7-F86B-4CC7-A0F8-6D8487DAECE3}</x14:id>
        </ext>
      </extLst>
    </cfRule>
  </conditionalFormatting>
  <conditionalFormatting sqref="H45:H62 H64">
    <cfRule type="dataBar" priority="9">
      <dataBar>
        <cfvo type="num" val="0"/>
        <cfvo type="num" val="20"/>
        <color rgb="FF00B050"/>
      </dataBar>
      <extLst>
        <ext xmlns:x14="http://schemas.microsoft.com/office/spreadsheetml/2009/9/main" uri="{B025F937-C7B1-47D3-B67F-A62EFF666E3E}">
          <x14:id>{D9E03DA0-3E45-479E-80DE-02584F31A393}</x14:id>
        </ext>
      </extLst>
    </cfRule>
  </conditionalFormatting>
  <conditionalFormatting sqref="G63">
    <cfRule type="dataBar" priority="4">
      <dataBar>
        <cfvo type="num" val="0"/>
        <cfvo type="num" val="20"/>
        <color rgb="FF638EC6"/>
      </dataBar>
      <extLst>
        <ext xmlns:x14="http://schemas.microsoft.com/office/spreadsheetml/2009/9/main" uri="{B025F937-C7B1-47D3-B67F-A62EFF666E3E}">
          <x14:id>{EFB6379E-1DD5-4B73-B9D0-3796ED1BEFBE}</x14:id>
        </ext>
      </extLst>
    </cfRule>
  </conditionalFormatting>
  <conditionalFormatting sqref="H63">
    <cfRule type="dataBar" priority="3">
      <dataBar>
        <cfvo type="num" val="0"/>
        <cfvo type="num" val="20"/>
        <color rgb="FF00B050"/>
      </dataBar>
      <extLst>
        <ext xmlns:x14="http://schemas.microsoft.com/office/spreadsheetml/2009/9/main" uri="{B025F937-C7B1-47D3-B67F-A62EFF666E3E}">
          <x14:id>{6DB79A2B-B6B1-47C0-96DB-E2184CF72570}</x14:id>
        </ext>
      </extLst>
    </cfRule>
  </conditionalFormatting>
  <conditionalFormatting sqref="G65">
    <cfRule type="dataBar" priority="2">
      <dataBar>
        <cfvo type="num" val="0"/>
        <cfvo type="num" val="20"/>
        <color rgb="FF638EC6"/>
      </dataBar>
      <extLst>
        <ext xmlns:x14="http://schemas.microsoft.com/office/spreadsheetml/2009/9/main" uri="{B025F937-C7B1-47D3-B67F-A62EFF666E3E}">
          <x14:id>{B2EED07D-D04E-4CEB-9548-5B8374C605C0}</x14:id>
        </ext>
      </extLst>
    </cfRule>
  </conditionalFormatting>
  <conditionalFormatting sqref="H65">
    <cfRule type="dataBar" priority="1">
      <dataBar>
        <cfvo type="num" val="0"/>
        <cfvo type="num" val="20"/>
        <color rgb="FF00B050"/>
      </dataBar>
      <extLst>
        <ext xmlns:x14="http://schemas.microsoft.com/office/spreadsheetml/2009/9/main" uri="{B025F937-C7B1-47D3-B67F-A62EFF666E3E}">
          <x14:id>{EFF4F897-DBBE-4E11-8FE1-2C054F7500C1}</x14:id>
        </ext>
      </extLst>
    </cfRule>
  </conditionalFormatting>
  <pageMargins left="0.7" right="0.7" top="0.75" bottom="0.75" header="0.3" footer="0.3"/>
  <pageSetup paperSize="9" scale="73"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dataBar" id="{4DF60AD2-43B1-4831-94E2-6D72C31A6850}">
            <x14:dataBar minLength="0" maxLength="100" gradient="0">
              <x14:cfvo type="num">
                <xm:f>0</xm:f>
              </x14:cfvo>
              <x14:cfvo type="num">
                <xm:f>20</xm:f>
              </x14:cfvo>
              <x14:negativeFillColor rgb="FFFF0000"/>
              <x14:axisColor rgb="FF000000"/>
            </x14:dataBar>
          </x14:cfRule>
          <xm:sqref>G66:G104 G33</xm:sqref>
        </x14:conditionalFormatting>
        <x14:conditionalFormatting xmlns:xm="http://schemas.microsoft.com/office/excel/2006/main">
          <x14:cfRule type="dataBar" id="{B3F780A8-D668-417E-9052-F18192503266}">
            <x14:dataBar minLength="0" maxLength="100" gradient="0">
              <x14:cfvo type="num">
                <xm:f>0</xm:f>
              </x14:cfvo>
              <x14:cfvo type="num">
                <xm:f>20</xm:f>
              </x14:cfvo>
              <x14:negativeFillColor rgb="FFFF0000"/>
              <x14:axisColor rgb="FF000000"/>
            </x14:dataBar>
          </x14:cfRule>
          <xm:sqref>H66:H104 H33</xm:sqref>
        </x14:conditionalFormatting>
        <x14:conditionalFormatting xmlns:xm="http://schemas.microsoft.com/office/excel/2006/main">
          <x14:cfRule type="dataBar" id="{865B3974-81E6-471A-A255-7C4CCE1614B9}">
            <x14:dataBar minLength="0" maxLength="100" gradient="0">
              <x14:cfvo type="num">
                <xm:f>0</xm:f>
              </x14:cfvo>
              <x14:cfvo type="num">
                <xm:f>20</xm:f>
              </x14:cfvo>
              <x14:negativeFillColor rgb="FFFF0000"/>
              <x14:axisColor rgb="FF000000"/>
            </x14:dataBar>
          </x14:cfRule>
          <xm:sqref>G17:G43</xm:sqref>
        </x14:conditionalFormatting>
        <x14:conditionalFormatting xmlns:xm="http://schemas.microsoft.com/office/excel/2006/main">
          <x14:cfRule type="dataBar" id="{D24D2C5B-FB53-4F08-9341-AEB5CD185201}">
            <x14:dataBar minLength="0" maxLength="100" gradient="0">
              <x14:cfvo type="num">
                <xm:f>0</xm:f>
              </x14:cfvo>
              <x14:cfvo type="num">
                <xm:f>20</xm:f>
              </x14:cfvo>
              <x14:negativeFillColor rgb="FFFF0000"/>
              <x14:axisColor rgb="FF000000"/>
            </x14:dataBar>
          </x14:cfRule>
          <xm:sqref>H17:H43</xm:sqref>
        </x14:conditionalFormatting>
        <x14:conditionalFormatting xmlns:xm="http://schemas.microsoft.com/office/excel/2006/main">
          <x14:cfRule type="dataBar" id="{0BBCC174-9E2C-46CF-A003-3B269CADEEDE}">
            <x14:dataBar minLength="0" maxLength="100" gradient="0">
              <x14:cfvo type="num">
                <xm:f>0</xm:f>
              </x14:cfvo>
              <x14:cfvo type="num">
                <xm:f>20</xm:f>
              </x14:cfvo>
              <x14:negativeFillColor rgb="FFFF0000"/>
              <x14:axisColor rgb="FF000000"/>
            </x14:dataBar>
          </x14:cfRule>
          <xm:sqref>G34:G44</xm:sqref>
        </x14:conditionalFormatting>
        <x14:conditionalFormatting xmlns:xm="http://schemas.microsoft.com/office/excel/2006/main">
          <x14:cfRule type="dataBar" id="{597316DB-D392-42C5-BCC7-DFE01C2361C8}">
            <x14:dataBar minLength="0" maxLength="100" gradient="0">
              <x14:cfvo type="num">
                <xm:f>0</xm:f>
              </x14:cfvo>
              <x14:cfvo type="num">
                <xm:f>20</xm:f>
              </x14:cfvo>
              <x14:negativeFillColor rgb="FFFF0000"/>
              <x14:axisColor rgb="FF000000"/>
            </x14:dataBar>
          </x14:cfRule>
          <xm:sqref>H34:H44</xm:sqref>
        </x14:conditionalFormatting>
        <x14:conditionalFormatting xmlns:xm="http://schemas.microsoft.com/office/excel/2006/main">
          <x14:cfRule type="dataBar" id="{1F67C232-9960-469A-9A2B-E61A09AF1A1A}">
            <x14:dataBar minLength="0" maxLength="100" gradient="0">
              <x14:cfvo type="num">
                <xm:f>0</xm:f>
              </x14:cfvo>
              <x14:cfvo type="num">
                <xm:f>20</xm:f>
              </x14:cfvo>
              <x14:negativeFillColor rgb="FFFF0000"/>
              <x14:axisColor rgb="FF000000"/>
            </x14:dataBar>
          </x14:cfRule>
          <xm:sqref>G16</xm:sqref>
        </x14:conditionalFormatting>
        <x14:conditionalFormatting xmlns:xm="http://schemas.microsoft.com/office/excel/2006/main">
          <x14:cfRule type="dataBar" id="{D41756A5-7D85-4547-8E96-C7BD72BBC0C1}">
            <x14:dataBar minLength="0" maxLength="100" gradient="0">
              <x14:cfvo type="num">
                <xm:f>0</xm:f>
              </x14:cfvo>
              <x14:cfvo type="num">
                <xm:f>20</xm:f>
              </x14:cfvo>
              <x14:negativeFillColor rgb="FFFF0000"/>
              <x14:axisColor rgb="FF000000"/>
            </x14:dataBar>
          </x14:cfRule>
          <xm:sqref>H16</xm:sqref>
        </x14:conditionalFormatting>
        <x14:conditionalFormatting xmlns:xm="http://schemas.microsoft.com/office/excel/2006/main">
          <x14:cfRule type="dataBar" id="{ABFBCAAE-1A38-482C-8E62-03E5DD48115B}">
            <x14:dataBar minLength="0" maxLength="100" gradient="0">
              <x14:cfvo type="num">
                <xm:f>0</xm:f>
              </x14:cfvo>
              <x14:cfvo type="num">
                <xm:f>20</xm:f>
              </x14:cfvo>
              <x14:negativeFillColor rgb="FFFF0000"/>
              <x14:axisColor rgb="FF000000"/>
            </x14:dataBar>
          </x14:cfRule>
          <xm:sqref>G9:G14</xm:sqref>
        </x14:conditionalFormatting>
        <x14:conditionalFormatting xmlns:xm="http://schemas.microsoft.com/office/excel/2006/main">
          <x14:cfRule type="dataBar" id="{47D99D9E-E248-4DCC-91B1-2AA5E2F9F3F3}">
            <x14:dataBar minLength="0" maxLength="100" gradient="0">
              <x14:cfvo type="num">
                <xm:f>0</xm:f>
              </x14:cfvo>
              <x14:cfvo type="num">
                <xm:f>20</xm:f>
              </x14:cfvo>
              <x14:negativeFillColor rgb="FFFF0000"/>
              <x14:axisColor rgb="FF000000"/>
            </x14:dataBar>
          </x14:cfRule>
          <xm:sqref>H9:H14</xm:sqref>
        </x14:conditionalFormatting>
        <x14:conditionalFormatting xmlns:xm="http://schemas.microsoft.com/office/excel/2006/main">
          <x14:cfRule type="dataBar" id="{11BE5EC7-F86B-4CC7-A0F8-6D8487DAECE3}">
            <x14:dataBar minLength="0" maxLength="100" gradient="0">
              <x14:cfvo type="num">
                <xm:f>0</xm:f>
              </x14:cfvo>
              <x14:cfvo type="num">
                <xm:f>20</xm:f>
              </x14:cfvo>
              <x14:negativeFillColor rgb="FFFF0000"/>
              <x14:axisColor rgb="FF000000"/>
            </x14:dataBar>
          </x14:cfRule>
          <xm:sqref>G45:G62 G64</xm:sqref>
        </x14:conditionalFormatting>
        <x14:conditionalFormatting xmlns:xm="http://schemas.microsoft.com/office/excel/2006/main">
          <x14:cfRule type="dataBar" id="{D9E03DA0-3E45-479E-80DE-02584F31A393}">
            <x14:dataBar minLength="0" maxLength="100" gradient="0">
              <x14:cfvo type="num">
                <xm:f>0</xm:f>
              </x14:cfvo>
              <x14:cfvo type="num">
                <xm:f>20</xm:f>
              </x14:cfvo>
              <x14:negativeFillColor rgb="FFFF0000"/>
              <x14:axisColor rgb="FF000000"/>
            </x14:dataBar>
          </x14:cfRule>
          <xm:sqref>H45:H62 H64</xm:sqref>
        </x14:conditionalFormatting>
        <x14:conditionalFormatting xmlns:xm="http://schemas.microsoft.com/office/excel/2006/main">
          <x14:cfRule type="dataBar" id="{EFB6379E-1DD5-4B73-B9D0-3796ED1BEFBE}">
            <x14:dataBar minLength="0" maxLength="100" gradient="0">
              <x14:cfvo type="num">
                <xm:f>0</xm:f>
              </x14:cfvo>
              <x14:cfvo type="num">
                <xm:f>20</xm:f>
              </x14:cfvo>
              <x14:negativeFillColor rgb="FFFF0000"/>
              <x14:axisColor rgb="FF000000"/>
            </x14:dataBar>
          </x14:cfRule>
          <xm:sqref>G63</xm:sqref>
        </x14:conditionalFormatting>
        <x14:conditionalFormatting xmlns:xm="http://schemas.microsoft.com/office/excel/2006/main">
          <x14:cfRule type="dataBar" id="{6DB79A2B-B6B1-47C0-96DB-E2184CF72570}">
            <x14:dataBar minLength="0" maxLength="100" gradient="0">
              <x14:cfvo type="num">
                <xm:f>0</xm:f>
              </x14:cfvo>
              <x14:cfvo type="num">
                <xm:f>20</xm:f>
              </x14:cfvo>
              <x14:negativeFillColor rgb="FFFF0000"/>
              <x14:axisColor rgb="FF000000"/>
            </x14:dataBar>
          </x14:cfRule>
          <xm:sqref>H63</xm:sqref>
        </x14:conditionalFormatting>
        <x14:conditionalFormatting xmlns:xm="http://schemas.microsoft.com/office/excel/2006/main">
          <x14:cfRule type="dataBar" id="{B2EED07D-D04E-4CEB-9548-5B8374C605C0}">
            <x14:dataBar minLength="0" maxLength="100" gradient="0">
              <x14:cfvo type="num">
                <xm:f>0</xm:f>
              </x14:cfvo>
              <x14:cfvo type="num">
                <xm:f>20</xm:f>
              </x14:cfvo>
              <x14:negativeFillColor rgb="FFFF0000"/>
              <x14:axisColor rgb="FF000000"/>
            </x14:dataBar>
          </x14:cfRule>
          <xm:sqref>G65</xm:sqref>
        </x14:conditionalFormatting>
        <x14:conditionalFormatting xmlns:xm="http://schemas.microsoft.com/office/excel/2006/main">
          <x14:cfRule type="dataBar" id="{EFF4F897-DBBE-4E11-8FE1-2C054F7500C1}">
            <x14:dataBar minLength="0" maxLength="100" gradient="0">
              <x14:cfvo type="num">
                <xm:f>0</xm:f>
              </x14:cfvo>
              <x14:cfvo type="num">
                <xm:f>20</xm:f>
              </x14:cfvo>
              <x14:negativeFillColor rgb="FFFF0000"/>
              <x14:axisColor rgb="FF000000"/>
            </x14:dataBar>
          </x14:cfRule>
          <xm:sqref>H65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00B050"/>
    <pageSetUpPr autoPageBreaks="0" fitToPage="1"/>
  </sheetPr>
  <dimension ref="A2:AI36"/>
  <sheetViews>
    <sheetView showGridLines="0" showRowColHeaders="0" topLeftCell="D1" zoomScaleNormal="100" workbookViewId="0">
      <pane ySplit="7" topLeftCell="A8" activePane="bottomLeft" state="frozen"/>
      <selection activeCell="D1" sqref="D1"/>
      <selection pane="bottomLeft" sqref="A1:D9356"/>
    </sheetView>
  </sheetViews>
  <sheetFormatPr defaultColWidth="9.140625" defaultRowHeight="15" x14ac:dyDescent="0.25"/>
  <cols>
    <col min="1" max="1" width="9.28515625" style="171" hidden="1" customWidth="1"/>
    <col min="2" max="3" width="8.85546875" style="21" hidden="1" customWidth="1"/>
    <col min="4" max="4" width="6.28515625" style="21" customWidth="1"/>
    <col min="5" max="5" width="15.5703125" style="21" customWidth="1"/>
    <col min="6" max="6" width="67.42578125" style="21" customWidth="1"/>
    <col min="7" max="8" width="27" style="21" customWidth="1"/>
    <col min="9" max="9" width="41.7109375" style="88" customWidth="1"/>
    <col min="10" max="11" width="9.140625" style="21" customWidth="1"/>
    <col min="12" max="25" width="9.140625" style="21" hidden="1" customWidth="1"/>
    <col min="26" max="28" width="9.140625" style="21"/>
    <col min="29" max="35" width="9.140625" style="21" customWidth="1"/>
    <col min="36" max="16384" width="9.140625" style="21"/>
  </cols>
  <sheetData>
    <row r="2" spans="1:35" s="53" customFormat="1" ht="15" customHeight="1" x14ac:dyDescent="0.25">
      <c r="A2" s="171"/>
      <c r="B2" s="21"/>
      <c r="C2" s="21"/>
      <c r="D2" s="21"/>
      <c r="E2" s="21"/>
      <c r="F2" s="326" t="str">
        <f>"Results"&amp;IF(LEN(profile_name_of_organisation)=0,""," for "&amp;profile_name_of_organisation)</f>
        <v>Results</v>
      </c>
      <c r="G2" s="326"/>
      <c r="H2" s="326"/>
      <c r="I2" s="326"/>
      <c r="J2" s="114"/>
      <c r="K2" s="114"/>
      <c r="L2" s="114"/>
      <c r="M2" s="114"/>
      <c r="N2" s="114"/>
      <c r="O2" s="114"/>
      <c r="P2" s="114"/>
      <c r="Q2" s="114"/>
      <c r="R2" s="114"/>
      <c r="S2" s="114"/>
      <c r="T2" s="114"/>
      <c r="U2" s="114"/>
      <c r="V2" s="114"/>
      <c r="W2" s="114"/>
      <c r="X2" s="114"/>
    </row>
    <row r="3" spans="1:35" s="53" customFormat="1" ht="15" customHeight="1" x14ac:dyDescent="0.25">
      <c r="A3" s="171"/>
      <c r="B3" s="21"/>
      <c r="C3" s="21"/>
      <c r="D3" s="21"/>
      <c r="E3" s="21"/>
      <c r="F3" s="326"/>
      <c r="G3" s="326"/>
      <c r="H3" s="326"/>
      <c r="I3" s="326"/>
      <c r="J3" s="114"/>
      <c r="K3" s="114"/>
      <c r="L3" s="114"/>
      <c r="M3" s="114"/>
      <c r="N3" s="114"/>
      <c r="O3" s="114"/>
      <c r="P3" s="114"/>
      <c r="Q3" s="114"/>
      <c r="R3" s="114"/>
      <c r="S3" s="114"/>
      <c r="T3" s="114"/>
      <c r="U3" s="114"/>
      <c r="V3" s="114"/>
      <c r="W3" s="114"/>
      <c r="X3" s="114"/>
    </row>
    <row r="4" spans="1:35" s="53" customFormat="1" ht="15" customHeight="1" x14ac:dyDescent="0.25">
      <c r="A4" s="171"/>
      <c r="B4" s="21"/>
      <c r="C4" s="21"/>
      <c r="D4" s="21"/>
      <c r="E4" s="21"/>
      <c r="F4" s="327" t="str">
        <f ca="1">'Assess C'!F2</f>
        <v>Maturity model for Stage C - Follow up</v>
      </c>
      <c r="G4" s="327"/>
      <c r="H4" s="327"/>
      <c r="I4" s="327"/>
      <c r="J4" s="114"/>
      <c r="K4" s="114"/>
      <c r="L4" s="114"/>
      <c r="M4" s="114"/>
      <c r="N4" s="114"/>
      <c r="O4" s="114"/>
      <c r="P4" s="114"/>
      <c r="Q4" s="114"/>
      <c r="R4" s="114"/>
      <c r="S4" s="114"/>
      <c r="T4" s="114"/>
      <c r="U4" s="114"/>
      <c r="V4" s="114"/>
      <c r="W4" s="114"/>
      <c r="X4" s="114"/>
    </row>
    <row r="5" spans="1:35" s="53" customFormat="1" ht="15" customHeight="1" x14ac:dyDescent="0.25">
      <c r="A5" s="171"/>
      <c r="B5" s="21"/>
      <c r="C5" s="21"/>
      <c r="D5" s="21"/>
      <c r="E5" s="21"/>
      <c r="F5" s="327"/>
      <c r="G5" s="327"/>
      <c r="H5" s="327"/>
      <c r="I5" s="327"/>
      <c r="J5" s="114"/>
      <c r="K5" s="114"/>
      <c r="L5" s="114"/>
      <c r="M5" s="114"/>
      <c r="N5" s="114"/>
      <c r="O5" s="114"/>
      <c r="P5" s="114"/>
      <c r="Q5" s="114"/>
      <c r="R5" s="114"/>
      <c r="S5" s="114"/>
      <c r="T5" s="114"/>
      <c r="U5" s="114"/>
      <c r="V5" s="114"/>
      <c r="W5" s="114"/>
      <c r="X5" s="114"/>
    </row>
    <row r="7" spans="1:35" ht="20.25" thickBot="1" x14ac:dyDescent="0.35">
      <c r="A7" s="9" t="s">
        <v>72</v>
      </c>
      <c r="B7" s="66" t="s">
        <v>77</v>
      </c>
      <c r="C7" s="13" t="s">
        <v>76</v>
      </c>
      <c r="F7" s="54"/>
      <c r="G7" s="59" t="s">
        <v>223</v>
      </c>
      <c r="H7" s="60" t="s">
        <v>215</v>
      </c>
      <c r="I7" s="89" t="s">
        <v>53</v>
      </c>
      <c r="AD7" s="161"/>
      <c r="AE7" s="161"/>
      <c r="AF7" s="161"/>
      <c r="AG7" s="162"/>
      <c r="AH7" s="161"/>
      <c r="AI7" s="162"/>
    </row>
    <row r="8" spans="1:35" s="76" customFormat="1" ht="30" customHeight="1" x14ac:dyDescent="0.25">
      <c r="A8" s="73">
        <v>174</v>
      </c>
      <c r="B8" s="74" t="str">
        <f t="shared" ref="B8:B36" ca="1" si="0">VLOOKUP(A8,Contents_Text,2,FALSE)</f>
        <v>C.1</v>
      </c>
      <c r="C8" s="20">
        <f t="shared" ref="C8:C36" ca="1" si="1">VLOOKUP(A8,Contents_Text,15,FALSE)</f>
        <v>2</v>
      </c>
      <c r="D8" s="92"/>
      <c r="E8" s="67" t="str">
        <f t="shared" ref="E8:E36" ca="1" si="2">IF(C8=1,"Phase "&amp;B8,IF(C8=2,"Step "&amp;VLOOKUP(A8,Contents_Text,4,FALSE),B8))</f>
        <v>Step 1</v>
      </c>
      <c r="F8" s="112" t="str">
        <f t="shared" ref="F8:F36" ca="1" si="3">VLOOKUP(A8,Contents_Text,7,FALSE)</f>
        <v>Remediate weaknesses</v>
      </c>
      <c r="G8" s="113" t="str">
        <f ca="1">"Maturity level:  "&amp;O8</f>
        <v>Maturity level:  Level 1</v>
      </c>
      <c r="H8" s="114"/>
      <c r="I8" s="118"/>
      <c r="J8" s="114"/>
      <c r="K8" s="114"/>
      <c r="L8" s="114" t="str">
        <f ca="1">TEXT(B8,"0.0")</f>
        <v>C.1</v>
      </c>
      <c r="M8" s="113">
        <f ca="1">SUMIF(Y:Y,L8,G:G)/(SUMIF(Y:Y,L8,X:X))</f>
        <v>0</v>
      </c>
      <c r="N8" s="113" t="str">
        <f ca="1">HLOOKUP(M8*100,level_ref,2,TRUE)</f>
        <v>Level 1</v>
      </c>
      <c r="O8" s="113" t="str">
        <f ca="1">IF(ISERROR(N8),"",N8)</f>
        <v>Level 1</v>
      </c>
      <c r="P8" s="113">
        <f ca="1">HLOOKUP(M8*100,level_ref,3,TRUE)</f>
        <v>1</v>
      </c>
      <c r="Q8" s="113">
        <f ca="1">IF(ISERROR(P8),"",P8)</f>
        <v>1</v>
      </c>
      <c r="R8" s="113">
        <f ca="1">M8*5</f>
        <v>0</v>
      </c>
      <c r="S8" s="113"/>
      <c r="T8" s="113"/>
      <c r="U8" s="113" t="str">
        <f ca="1">IF(AND(C8&gt;4,VLOOKUP(A8,Assess_C_Reference,34,FALSE)&lt;&gt;8),LEFT(B8,3),"")</f>
        <v/>
      </c>
      <c r="V8" s="113">
        <f ca="1">VLOOKUP(A8,Weightings_Assessments,24,FALSE)</f>
        <v>0</v>
      </c>
      <c r="W8" s="113">
        <f ca="1">IF(VLOOKUP(A8,Assess_C_Reference,34,FALSE)=8,0,1)</f>
        <v>1</v>
      </c>
      <c r="X8" s="113">
        <f ca="1">W8*V8*4</f>
        <v>0</v>
      </c>
      <c r="Y8" s="76" t="str">
        <f ca="1">AG8&amp;U8</f>
        <v/>
      </c>
      <c r="AD8" s="86"/>
      <c r="AE8" s="86"/>
      <c r="AF8" s="86"/>
      <c r="AG8" s="79"/>
      <c r="AH8" s="86"/>
      <c r="AI8" s="79"/>
    </row>
    <row r="9" spans="1:35" s="77" customFormat="1" ht="30" customHeight="1" x14ac:dyDescent="0.25">
      <c r="A9" s="68">
        <v>175</v>
      </c>
      <c r="B9" s="69" t="str">
        <f t="shared" ca="1" si="0"/>
        <v>C.1.01</v>
      </c>
      <c r="C9" s="70">
        <f t="shared" ca="1" si="1"/>
        <v>5</v>
      </c>
      <c r="D9" s="20"/>
      <c r="E9" s="91" t="str">
        <f t="shared" ca="1" si="2"/>
        <v>C.1.01</v>
      </c>
      <c r="F9" s="72" t="str">
        <f t="shared" ca="1" si="3"/>
        <v>Do follow-up activities include remediating weaknesses identified in penetration testing?</v>
      </c>
      <c r="G9" s="195" t="str">
        <f ca="1">VLOOKUP($A9,Assess_C_Reference,15,FALSE)</f>
        <v/>
      </c>
      <c r="H9" s="195">
        <f ca="1">(VLOOKUP(LEFT($B9,3),Targets_Lookup,5,FALSE))*VLOOKUP($A9,Weightings_Assessments,23,FALSE)</f>
        <v>8</v>
      </c>
      <c r="I9" s="72" t="str">
        <f ca="1">IF(VLOOKUP(A9,Assess_C_Reference,16,FALSE)=0,"",VLOOKUP(A9,Assess_C_Reference,16,FALSE))</f>
        <v/>
      </c>
      <c r="J9" s="70"/>
      <c r="K9" s="70"/>
      <c r="L9" s="70"/>
      <c r="M9" s="70"/>
      <c r="N9" s="70"/>
      <c r="O9" s="70"/>
      <c r="P9" s="70"/>
      <c r="Q9" s="70"/>
      <c r="R9" s="70"/>
      <c r="S9" s="70"/>
      <c r="T9" s="78"/>
      <c r="U9" s="106" t="str">
        <f ca="1">IF(AND(C9&gt;4,VLOOKUP(A9,Assess_C_Reference,34,FALSE)&lt;&gt;8),LEFT(B9,3),"")</f>
        <v>C.1</v>
      </c>
      <c r="V9" s="106">
        <f ca="1">VLOOKUP(A9,Weightings_Assessments,24,FALSE)</f>
        <v>2</v>
      </c>
      <c r="W9" s="106">
        <f ca="1">IF(VLOOKUP(A9,Assess_C_Reference,34,FALSE)=8,0,1)</f>
        <v>1</v>
      </c>
      <c r="X9" s="106">
        <f ca="1">W9*V9*4</f>
        <v>8</v>
      </c>
      <c r="Y9" s="77" t="str">
        <f ca="1">AG9&amp;U9</f>
        <v>C.1</v>
      </c>
      <c r="AD9" s="86"/>
      <c r="AE9" s="86"/>
      <c r="AF9" s="86"/>
      <c r="AG9" s="79"/>
      <c r="AH9" s="86"/>
      <c r="AI9" s="79"/>
    </row>
    <row r="10" spans="1:35" s="77" customFormat="1" ht="30" customHeight="1" x14ac:dyDescent="0.25">
      <c r="A10" s="68">
        <v>176</v>
      </c>
      <c r="B10" s="69" t="str">
        <f t="shared" ca="1" si="0"/>
        <v>C.1.02</v>
      </c>
      <c r="C10" s="70">
        <f t="shared" ca="1" si="1"/>
        <v>5</v>
      </c>
      <c r="D10" s="20"/>
      <c r="E10" s="91" t="str">
        <f t="shared" ca="1" si="2"/>
        <v>C.1.02</v>
      </c>
      <c r="F10" s="72" t="str">
        <f t="shared" ca="1" si="3"/>
        <v>Are weaknesses remediated in line with a comprehensive, approved remediation process?</v>
      </c>
      <c r="G10" s="195" t="str">
        <f ca="1">VLOOKUP($A10,Assess_C_Reference,15,FALSE)</f>
        <v/>
      </c>
      <c r="H10" s="195">
        <f ca="1">(VLOOKUP(LEFT($B10,3),Targets_Lookup,5,FALSE))*VLOOKUP($A10,Weightings_Assessments,23,FALSE)</f>
        <v>16</v>
      </c>
      <c r="I10" s="72" t="str">
        <f ca="1">IF(VLOOKUP(A10,Assess_C_Reference,16,FALSE)=0,"",VLOOKUP(A10,Assess_C_Reference,16,FALSE))</f>
        <v/>
      </c>
      <c r="J10" s="70"/>
      <c r="K10" s="70"/>
      <c r="L10" s="70"/>
      <c r="M10" s="70"/>
      <c r="N10" s="70"/>
      <c r="O10" s="70"/>
      <c r="P10" s="70"/>
      <c r="Q10" s="70"/>
      <c r="R10" s="70"/>
      <c r="S10" s="70"/>
      <c r="T10" s="78"/>
      <c r="U10" s="106" t="str">
        <f ca="1">IF(AND(C10&gt;4,VLOOKUP(A10,Assess_C_Reference,34,FALSE)&lt;&gt;8),LEFT(B10,3),"")</f>
        <v>C.1</v>
      </c>
      <c r="V10" s="106">
        <f ca="1">VLOOKUP(A10,Weightings_Assessments,24,FALSE)</f>
        <v>4</v>
      </c>
      <c r="W10" s="106">
        <f ca="1">IF(VLOOKUP(A10,Assess_C_Reference,34,FALSE)=8,0,1)</f>
        <v>1</v>
      </c>
      <c r="X10" s="106">
        <f ca="1">W10*V10*4</f>
        <v>16</v>
      </c>
      <c r="Y10" s="77" t="str">
        <f ca="1">AG10&amp;U10</f>
        <v>C.1</v>
      </c>
      <c r="AD10" s="86"/>
      <c r="AE10" s="86"/>
      <c r="AF10" s="86"/>
      <c r="AG10" s="79"/>
      <c r="AH10" s="86"/>
      <c r="AI10" s="79"/>
    </row>
    <row r="11" spans="1:35" s="77" customFormat="1" ht="105" x14ac:dyDescent="0.25">
      <c r="A11" s="68">
        <v>177</v>
      </c>
      <c r="B11" s="69" t="str">
        <f t="shared" ca="1" si="0"/>
        <v/>
      </c>
      <c r="C11" s="70">
        <f t="shared" ca="1" si="1"/>
        <v>3</v>
      </c>
      <c r="D11" s="20"/>
      <c r="E11" s="91" t="str">
        <f t="shared" ca="1" si="2"/>
        <v/>
      </c>
      <c r="F11" s="166" t="str">
        <f t="shared" ca="1" si="3"/>
        <v>An effective remediation process should include addressing all issues; applying immediate or short terms solutions (e.g. patching systems, closing ports and preventing traffic from particular web sites or IP addresses), replicating results of penetration tests, determining which weaknesses to address first (e.g. based on risk ratings for critical assets), and reporting weaknesses to relevant third party organisations.</v>
      </c>
      <c r="G11" s="85"/>
      <c r="H11" s="85"/>
      <c r="I11" s="72"/>
      <c r="J11" s="70"/>
      <c r="K11" s="70"/>
      <c r="L11" s="70"/>
      <c r="M11" s="70"/>
      <c r="N11" s="70"/>
      <c r="O11" s="70"/>
      <c r="P11" s="70"/>
      <c r="Q11" s="70"/>
      <c r="R11" s="70"/>
      <c r="S11" s="70"/>
      <c r="T11" s="78"/>
      <c r="U11" s="78"/>
      <c r="V11" s="78"/>
      <c r="W11" s="78"/>
      <c r="X11" s="78"/>
      <c r="AD11" s="86"/>
      <c r="AE11" s="86"/>
      <c r="AF11" s="86"/>
      <c r="AG11" s="79"/>
      <c r="AH11" s="86"/>
      <c r="AI11" s="79"/>
    </row>
    <row r="12" spans="1:35" s="76" customFormat="1" ht="30" customHeight="1" x14ac:dyDescent="0.25">
      <c r="A12" s="73">
        <v>178</v>
      </c>
      <c r="B12" s="74" t="str">
        <f t="shared" ca="1" si="0"/>
        <v>C.2</v>
      </c>
      <c r="C12" s="20">
        <f t="shared" ca="1" si="1"/>
        <v>2</v>
      </c>
      <c r="D12" s="92"/>
      <c r="E12" s="67" t="str">
        <f t="shared" ca="1" si="2"/>
        <v>Step 2</v>
      </c>
      <c r="F12" s="112" t="str">
        <f t="shared" ca="1" si="3"/>
        <v>Address root causes of weaknesses</v>
      </c>
      <c r="G12" s="113" t="str">
        <f ca="1">"Maturity level:  "&amp;O12</f>
        <v>Maturity level:  Level 1</v>
      </c>
      <c r="H12" s="114"/>
      <c r="I12" s="118"/>
      <c r="J12" s="114"/>
      <c r="K12" s="114"/>
      <c r="L12" s="114" t="str">
        <f ca="1">TEXT(B12,"0.0")</f>
        <v>C.2</v>
      </c>
      <c r="M12" s="113">
        <f ca="1">SUMIF(Y:Y,L12,G:G)/(SUMIF(Y:Y,L12,X:X))</f>
        <v>0</v>
      </c>
      <c r="N12" s="113" t="str">
        <f ca="1">HLOOKUP(M12*100,level_ref,2,TRUE)</f>
        <v>Level 1</v>
      </c>
      <c r="O12" s="113" t="str">
        <f ca="1">IF(ISERROR(N12),"",N12)</f>
        <v>Level 1</v>
      </c>
      <c r="P12" s="113">
        <f ca="1">HLOOKUP(M12*100,level_ref,3,TRUE)</f>
        <v>1</v>
      </c>
      <c r="Q12" s="113">
        <f ca="1">IF(ISERROR(P12),"",P12)</f>
        <v>1</v>
      </c>
      <c r="R12" s="113">
        <f ca="1">M12*5</f>
        <v>0</v>
      </c>
      <c r="S12" s="113"/>
      <c r="T12" s="113"/>
      <c r="U12" s="113" t="str">
        <f ca="1">IF(AND(C12&gt;4,VLOOKUP(A12,Assess_C_Reference,34,FALSE)&lt;&gt;8),LEFT(B12,3),"")</f>
        <v/>
      </c>
      <c r="V12" s="113">
        <f ca="1">VLOOKUP(A12,Weightings_Assessments,24,FALSE)</f>
        <v>0</v>
      </c>
      <c r="W12" s="113">
        <f ca="1">IF(VLOOKUP(A12,Assess_C_Reference,34,FALSE)=8,0,1)</f>
        <v>1</v>
      </c>
      <c r="X12" s="113">
        <f ca="1">W12*V12*4</f>
        <v>0</v>
      </c>
      <c r="Y12" s="76" t="str">
        <f ca="1">AG12&amp;U12</f>
        <v/>
      </c>
      <c r="AD12" s="86"/>
      <c r="AE12" s="86"/>
      <c r="AF12" s="86"/>
      <c r="AG12" s="79"/>
      <c r="AH12" s="86"/>
      <c r="AI12" s="79"/>
    </row>
    <row r="13" spans="1:35" s="76" customFormat="1" ht="30" customHeight="1" x14ac:dyDescent="0.25">
      <c r="A13" s="73">
        <v>179</v>
      </c>
      <c r="B13" s="74" t="str">
        <f t="shared" ca="1" si="0"/>
        <v>C.2.01</v>
      </c>
      <c r="C13" s="20">
        <f t="shared" ca="1" si="1"/>
        <v>5</v>
      </c>
      <c r="D13" s="92"/>
      <c r="E13" s="91" t="str">
        <f t="shared" ca="1" si="2"/>
        <v>C.2.01</v>
      </c>
      <c r="F13" s="72" t="str">
        <f t="shared" ca="1" si="3"/>
        <v>Do follow-up activities include analysing and addressing the root causes of weaknesses identified in penetration testing?</v>
      </c>
      <c r="G13" s="195" t="str">
        <f ca="1">VLOOKUP($A13,Assess_C_Reference,15,FALSE)</f>
        <v/>
      </c>
      <c r="H13" s="195">
        <f ca="1">(VLOOKUP(LEFT($B13,3),Targets_Lookup,5,FALSE))*VLOOKUP($A13,Weightings_Assessments,23,FALSE)</f>
        <v>8</v>
      </c>
      <c r="I13" s="72" t="str">
        <f ca="1">IF(VLOOKUP(A13,Assess_C_Reference,16,FALSE)=0,"",VLOOKUP(A13,Assess_C_Reference,16,FALSE))</f>
        <v/>
      </c>
      <c r="J13" s="70"/>
      <c r="K13" s="70"/>
      <c r="L13" s="70"/>
      <c r="M13" s="70"/>
      <c r="N13" s="70"/>
      <c r="O13" s="70"/>
      <c r="P13" s="70"/>
      <c r="Q13" s="70"/>
      <c r="R13" s="70"/>
      <c r="S13" s="70"/>
      <c r="T13" s="78"/>
      <c r="U13" s="106" t="str">
        <f ca="1">IF(AND(C13&gt;4,VLOOKUP(A13,Assess_C_Reference,34,FALSE)&lt;&gt;8),LEFT(B13,3),"")</f>
        <v>C.2</v>
      </c>
      <c r="V13" s="106">
        <f ca="1">VLOOKUP(A13,Weightings_Assessments,24,FALSE)</f>
        <v>2</v>
      </c>
      <c r="W13" s="106">
        <f ca="1">IF(VLOOKUP(A13,Assess_C_Reference,34,FALSE)=8,0,1)</f>
        <v>1</v>
      </c>
      <c r="X13" s="106">
        <f ca="1">W13*V13*4</f>
        <v>8</v>
      </c>
      <c r="Y13" s="77" t="str">
        <f ca="1">AG13&amp;U13</f>
        <v>C.2</v>
      </c>
      <c r="AD13" s="86"/>
      <c r="AE13" s="86"/>
      <c r="AF13" s="86"/>
      <c r="AG13" s="79"/>
      <c r="AH13" s="86"/>
      <c r="AI13" s="79"/>
    </row>
    <row r="14" spans="1:35" s="77" customFormat="1" ht="30" customHeight="1" x14ac:dyDescent="0.25">
      <c r="A14" s="68">
        <v>180</v>
      </c>
      <c r="B14" s="69" t="str">
        <f t="shared" ca="1" si="0"/>
        <v>C.2.02</v>
      </c>
      <c r="C14" s="70">
        <f t="shared" ca="1" si="1"/>
        <v>5</v>
      </c>
      <c r="D14" s="20"/>
      <c r="E14" s="91" t="str">
        <f t="shared" ca="1" si="2"/>
        <v>C.2.02</v>
      </c>
      <c r="F14" s="72" t="str">
        <f t="shared" ca="1" si="3"/>
        <v>Does root cause analysis include the full range of required actions?</v>
      </c>
      <c r="G14" s="195" t="str">
        <f ca="1">VLOOKUP($A14,Assess_C_Reference,15,FALSE)</f>
        <v/>
      </c>
      <c r="H14" s="195">
        <f ca="1">(VLOOKUP(LEFT($B14,3),Targets_Lookup,5,FALSE))*VLOOKUP($A14,Weightings_Assessments,23,FALSE)</f>
        <v>16</v>
      </c>
      <c r="I14" s="72" t="str">
        <f ca="1">IF(VLOOKUP(A14,Assess_C_Reference,16,FALSE)=0,"",VLOOKUP(A14,Assess_C_Reference,16,FALSE))</f>
        <v/>
      </c>
      <c r="J14" s="70"/>
      <c r="K14" s="70"/>
      <c r="L14" s="70"/>
      <c r="M14" s="70"/>
      <c r="N14" s="70"/>
      <c r="O14" s="70"/>
      <c r="P14" s="70"/>
      <c r="Q14" s="70"/>
      <c r="R14" s="70"/>
      <c r="S14" s="70"/>
      <c r="T14" s="78"/>
      <c r="U14" s="106" t="str">
        <f ca="1">IF(AND(C14&gt;4,VLOOKUP(A14,Assess_C_Reference,34,FALSE)&lt;&gt;8),LEFT(B14,3),"")</f>
        <v>C.2</v>
      </c>
      <c r="V14" s="106">
        <f ca="1">VLOOKUP(A14,Weightings_Assessments,24,FALSE)</f>
        <v>4</v>
      </c>
      <c r="W14" s="106">
        <f ca="1">IF(VLOOKUP(A14,Assess_C_Reference,34,FALSE)=8,0,1)</f>
        <v>1</v>
      </c>
      <c r="X14" s="106">
        <f ca="1">W14*V14*4</f>
        <v>16</v>
      </c>
      <c r="Y14" s="77" t="str">
        <f ca="1">AG14&amp;U14</f>
        <v>C.2</v>
      </c>
      <c r="AD14" s="86"/>
      <c r="AE14" s="86"/>
      <c r="AF14" s="86"/>
      <c r="AG14" s="79"/>
      <c r="AH14" s="86"/>
      <c r="AI14" s="79"/>
    </row>
    <row r="15" spans="1:35" s="77" customFormat="1" ht="60" x14ac:dyDescent="0.25">
      <c r="A15" s="68">
        <v>181</v>
      </c>
      <c r="B15" s="69" t="str">
        <f t="shared" ca="1" si="0"/>
        <v/>
      </c>
      <c r="C15" s="70">
        <f t="shared" ca="1" si="1"/>
        <v>3</v>
      </c>
      <c r="D15" s="20"/>
      <c r="E15" s="91" t="str">
        <f t="shared" ca="1" si="2"/>
        <v/>
      </c>
      <c r="F15" s="166" t="str">
        <f t="shared" ca="1" si="3"/>
        <v>Root cause analysis should include: identifying the real root causes of exposures; evaluating potential business impact; identifying more endemic or fundamental root causes; qualified, experienced security professionals to help define corrective action strategy and plans.</v>
      </c>
      <c r="G15" s="85"/>
      <c r="H15" s="85"/>
      <c r="I15" s="72"/>
      <c r="J15" s="70"/>
      <c r="K15" s="70"/>
      <c r="L15" s="70"/>
      <c r="M15" s="70"/>
      <c r="N15" s="70"/>
      <c r="O15" s="70"/>
      <c r="P15" s="70"/>
      <c r="Q15" s="70"/>
      <c r="R15" s="70"/>
      <c r="S15" s="70"/>
      <c r="T15" s="78"/>
      <c r="U15" s="78"/>
      <c r="V15" s="78"/>
      <c r="W15" s="78"/>
      <c r="X15" s="78"/>
      <c r="AD15" s="86"/>
      <c r="AE15" s="86"/>
      <c r="AF15" s="86"/>
      <c r="AG15" s="79"/>
      <c r="AH15" s="86"/>
      <c r="AI15" s="79"/>
    </row>
    <row r="16" spans="1:35" s="77" customFormat="1" ht="30" customHeight="1" x14ac:dyDescent="0.25">
      <c r="A16" s="68">
        <v>182</v>
      </c>
      <c r="B16" s="69" t="str">
        <f t="shared" ca="1" si="0"/>
        <v>C.3</v>
      </c>
      <c r="C16" s="70">
        <f t="shared" ca="1" si="1"/>
        <v>2</v>
      </c>
      <c r="D16" s="20"/>
      <c r="E16" s="111" t="str">
        <f t="shared" ca="1" si="2"/>
        <v>Step 3</v>
      </c>
      <c r="F16" s="108" t="str">
        <f t="shared" ca="1" si="3"/>
        <v>Initiate improvement programme</v>
      </c>
      <c r="G16" s="193" t="str">
        <f ca="1">"Maturity level:  "&amp;O16</f>
        <v>Maturity level:  Level 1</v>
      </c>
      <c r="H16" s="194"/>
      <c r="I16" s="172"/>
      <c r="J16" s="107"/>
      <c r="K16" s="107"/>
      <c r="L16" s="107" t="str">
        <f ca="1">TEXT(B16,"0.0")</f>
        <v>C.3</v>
      </c>
      <c r="M16" s="106">
        <f ca="1">SUMIF(Y:Y,L16,G:G)/(SUMIF(Y:Y,L16,X:X))</f>
        <v>0</v>
      </c>
      <c r="N16" s="106" t="str">
        <f ca="1">HLOOKUP(M16*100,level_ref,2,TRUE)</f>
        <v>Level 1</v>
      </c>
      <c r="O16" s="106" t="str">
        <f ca="1">IF(ISERROR(N16),"",N16)</f>
        <v>Level 1</v>
      </c>
      <c r="P16" s="106">
        <f ca="1">HLOOKUP(M16*100,level_ref,3,TRUE)</f>
        <v>1</v>
      </c>
      <c r="Q16" s="106">
        <f ca="1">IF(ISERROR(P16),"",P16)</f>
        <v>1</v>
      </c>
      <c r="R16" s="106">
        <f ca="1">M16*5</f>
        <v>0</v>
      </c>
      <c r="S16" s="106"/>
      <c r="T16" s="106"/>
      <c r="U16" s="106" t="str">
        <f ca="1">IF(AND(C16&gt;4,VLOOKUP(A16,Assess_C_Reference,34,FALSE)&lt;&gt;8),LEFT(B16,3),"")</f>
        <v/>
      </c>
      <c r="V16" s="106">
        <f ca="1">VLOOKUP(A16,Weightings_Assessments,24,FALSE)</f>
        <v>0</v>
      </c>
      <c r="W16" s="106">
        <f ca="1">IF(VLOOKUP(A16,Assess_C_Reference,34,FALSE)=8,0,1)</f>
        <v>1</v>
      </c>
      <c r="X16" s="106">
        <f ca="1">W16*V16*4</f>
        <v>0</v>
      </c>
      <c r="Y16" s="77" t="str">
        <f ca="1">AG16&amp;U16</f>
        <v/>
      </c>
      <c r="AD16" s="86"/>
      <c r="AE16" s="86"/>
      <c r="AF16" s="86"/>
      <c r="AG16" s="79"/>
      <c r="AH16" s="86"/>
      <c r="AI16" s="79"/>
    </row>
    <row r="17" spans="1:35" s="77" customFormat="1" ht="30" customHeight="1" x14ac:dyDescent="0.25">
      <c r="A17" s="68">
        <v>183</v>
      </c>
      <c r="B17" s="69" t="str">
        <f t="shared" ca="1" si="0"/>
        <v>C.3.01</v>
      </c>
      <c r="C17" s="70">
        <f t="shared" ca="1" si="1"/>
        <v>5</v>
      </c>
      <c r="D17" s="20"/>
      <c r="E17" s="91" t="str">
        <f t="shared" ca="1" si="2"/>
        <v>C.3.01</v>
      </c>
      <c r="F17" s="72" t="str">
        <f t="shared" ca="1" si="3"/>
        <v>On completion of penetration tests, is an improvement programme initiated?</v>
      </c>
      <c r="G17" s="195" t="str">
        <f ca="1">VLOOKUP($A17,Assess_C_Reference,15,FALSE)</f>
        <v/>
      </c>
      <c r="H17" s="195">
        <f ca="1">(VLOOKUP(LEFT($B17,3),Targets_Lookup,5,FALSE))*VLOOKUP($A17,Weightings_Assessments,23,FALSE)</f>
        <v>4</v>
      </c>
      <c r="I17" s="72" t="str">
        <f ca="1">IF(VLOOKUP(A17,Assess_C_Reference,16,FALSE)=0,"",VLOOKUP(A17,Assess_C_Reference,16,FALSE))</f>
        <v/>
      </c>
      <c r="J17" s="70"/>
      <c r="K17" s="70"/>
      <c r="L17" s="70"/>
      <c r="M17" s="70"/>
      <c r="N17" s="70"/>
      <c r="O17" s="70"/>
      <c r="P17" s="70"/>
      <c r="Q17" s="70"/>
      <c r="R17" s="70"/>
      <c r="S17" s="70"/>
      <c r="T17" s="78"/>
      <c r="U17" s="106" t="str">
        <f ca="1">IF(AND(C17&gt;4,VLOOKUP(A17,Assess_C_Reference,34,FALSE)&lt;&gt;8),LEFT(B17,3),"")</f>
        <v>C.3</v>
      </c>
      <c r="V17" s="106">
        <f ca="1">VLOOKUP(A17,Weightings_Assessments,24,FALSE)</f>
        <v>1</v>
      </c>
      <c r="W17" s="106">
        <f ca="1">IF(VLOOKUP(A17,Assess_C_Reference,34,FALSE)=8,0,1)</f>
        <v>1</v>
      </c>
      <c r="X17" s="106">
        <f ca="1">W17*V17*4</f>
        <v>4</v>
      </c>
      <c r="Y17" s="77" t="str">
        <f ca="1">AG17&amp;U17</f>
        <v>C.3</v>
      </c>
      <c r="AD17" s="86"/>
      <c r="AE17" s="86"/>
      <c r="AF17" s="86"/>
      <c r="AG17" s="79"/>
      <c r="AH17" s="86"/>
      <c r="AI17" s="79"/>
    </row>
    <row r="18" spans="1:35" s="77" customFormat="1" ht="30" customHeight="1" x14ac:dyDescent="0.25">
      <c r="A18" s="68">
        <v>184</v>
      </c>
      <c r="B18" s="69" t="str">
        <f t="shared" ca="1" si="0"/>
        <v>C.3.02</v>
      </c>
      <c r="C18" s="70">
        <f t="shared" ca="1" si="1"/>
        <v>5</v>
      </c>
      <c r="D18" s="20"/>
      <c r="E18" s="91" t="str">
        <f t="shared" ca="1" si="2"/>
        <v>C.3.02</v>
      </c>
      <c r="F18" s="72" t="str">
        <f t="shared" ca="1" si="3"/>
        <v>Is the improvement programme carried out in a structured / systematic manner?</v>
      </c>
      <c r="G18" s="195" t="str">
        <f ca="1">VLOOKUP($A18,Assess_C_Reference,15,FALSE)</f>
        <v/>
      </c>
      <c r="H18" s="195">
        <f ca="1">(VLOOKUP(LEFT($B18,3),Targets_Lookup,5,FALSE))*VLOOKUP($A18,Weightings_Assessments,23,FALSE)</f>
        <v>12</v>
      </c>
      <c r="I18" s="72" t="str">
        <f ca="1">IF(VLOOKUP(A18,Assess_C_Reference,16,FALSE)=0,"",VLOOKUP(A18,Assess_C_Reference,16,FALSE))</f>
        <v/>
      </c>
      <c r="J18" s="70"/>
      <c r="K18" s="70"/>
      <c r="L18" s="70"/>
      <c r="M18" s="70"/>
      <c r="N18" s="70"/>
      <c r="O18" s="70"/>
      <c r="P18" s="70"/>
      <c r="Q18" s="70"/>
      <c r="R18" s="70"/>
      <c r="S18" s="70"/>
      <c r="T18" s="78"/>
      <c r="U18" s="106" t="str">
        <f ca="1">IF(AND(C18&gt;4,VLOOKUP(A18,Assess_C_Reference,34,FALSE)&lt;&gt;8),LEFT(B18,3),"")</f>
        <v>C.3</v>
      </c>
      <c r="V18" s="106">
        <f ca="1">VLOOKUP(A18,Weightings_Assessments,24,FALSE)</f>
        <v>3</v>
      </c>
      <c r="W18" s="106">
        <f ca="1">IF(VLOOKUP(A18,Assess_C_Reference,34,FALSE)=8,0,1)</f>
        <v>1</v>
      </c>
      <c r="X18" s="106">
        <f ca="1">W18*V18*4</f>
        <v>12</v>
      </c>
      <c r="Y18" s="77" t="str">
        <f ca="1">AG18&amp;U18</f>
        <v>C.3</v>
      </c>
      <c r="AD18" s="86"/>
      <c r="AE18" s="86"/>
      <c r="AF18" s="86"/>
      <c r="AG18" s="79"/>
      <c r="AH18" s="86"/>
      <c r="AI18" s="79"/>
    </row>
    <row r="19" spans="1:35" s="77" customFormat="1" ht="30" customHeight="1" x14ac:dyDescent="0.25">
      <c r="A19" s="68">
        <v>185</v>
      </c>
      <c r="B19" s="69" t="str">
        <f t="shared" ca="1" si="0"/>
        <v>C.3.03</v>
      </c>
      <c r="C19" s="70">
        <f t="shared" ca="1" si="1"/>
        <v>5</v>
      </c>
      <c r="D19" s="20"/>
      <c r="E19" s="91" t="str">
        <f t="shared" ca="1" si="2"/>
        <v>C.3.03</v>
      </c>
      <c r="F19" s="72" t="str">
        <f t="shared" ca="1" si="3"/>
        <v>Does your improvement programme include all key elements?</v>
      </c>
      <c r="G19" s="195" t="str">
        <f ca="1">VLOOKUP($A19,Assess_C_Reference,15,FALSE)</f>
        <v/>
      </c>
      <c r="H19" s="195">
        <f ca="1">(VLOOKUP(LEFT($B19,3),Targets_Lookup,5,FALSE))*VLOOKUP($A19,Weightings_Assessments,23,FALSE)</f>
        <v>20</v>
      </c>
      <c r="I19" s="72" t="str">
        <f ca="1">IF(VLOOKUP(A19,Assess_C_Reference,16,FALSE)=0,"",VLOOKUP(A19,Assess_C_Reference,16,FALSE))</f>
        <v/>
      </c>
      <c r="J19" s="70"/>
      <c r="K19" s="70"/>
      <c r="L19" s="70"/>
      <c r="M19" s="70"/>
      <c r="N19" s="70"/>
      <c r="O19" s="70"/>
      <c r="P19" s="70"/>
      <c r="Q19" s="70"/>
      <c r="R19" s="70"/>
      <c r="S19" s="70"/>
      <c r="T19" s="78"/>
      <c r="U19" s="106" t="str">
        <f ca="1">IF(AND(C19&gt;4,VLOOKUP(A19,Assess_C_Reference,34,FALSE)&lt;&gt;8),LEFT(B19,3),"")</f>
        <v>C.3</v>
      </c>
      <c r="V19" s="106">
        <f ca="1">VLOOKUP(A19,Weightings_Assessments,24,FALSE)</f>
        <v>5</v>
      </c>
      <c r="W19" s="106">
        <f ca="1">IF(VLOOKUP(A19,Assess_C_Reference,34,FALSE)=8,0,1)</f>
        <v>1</v>
      </c>
      <c r="X19" s="106">
        <f ca="1">W19*V19*4</f>
        <v>20</v>
      </c>
      <c r="Y19" s="77" t="str">
        <f ca="1">AG19&amp;U19</f>
        <v>C.3</v>
      </c>
      <c r="AD19" s="86"/>
      <c r="AE19" s="86"/>
      <c r="AF19" s="86"/>
      <c r="AG19" s="79"/>
      <c r="AH19" s="86"/>
      <c r="AI19" s="79"/>
    </row>
    <row r="20" spans="1:35" s="77" customFormat="1" ht="60" x14ac:dyDescent="0.25">
      <c r="A20" s="68">
        <v>186</v>
      </c>
      <c r="B20" s="69" t="str">
        <f t="shared" ca="1" si="0"/>
        <v/>
      </c>
      <c r="C20" s="70">
        <f t="shared" ca="1" si="1"/>
        <v>3</v>
      </c>
      <c r="D20" s="20"/>
      <c r="E20" s="91" t="str">
        <f t="shared" ca="1" si="2"/>
        <v/>
      </c>
      <c r="F20" s="166" t="str">
        <f t="shared" ca="1" si="3"/>
        <v>The improvement programme should address root causes of weakness; evaluate penetration testing effectiveness; identify lessons learned; apply good practice enterprise-wide; create and monitor action plans; and agree approaches for future testing.</v>
      </c>
      <c r="G20" s="85"/>
      <c r="H20" s="85"/>
      <c r="I20" s="72"/>
      <c r="J20" s="70"/>
      <c r="K20" s="70"/>
      <c r="L20" s="70"/>
      <c r="M20" s="70"/>
      <c r="N20" s="70"/>
      <c r="O20" s="70"/>
      <c r="P20" s="70"/>
      <c r="Q20" s="70"/>
      <c r="R20" s="70"/>
      <c r="S20" s="70"/>
      <c r="T20" s="78"/>
      <c r="U20" s="78"/>
      <c r="V20" s="78"/>
      <c r="W20" s="78"/>
      <c r="X20" s="78"/>
      <c r="AD20" s="86"/>
      <c r="AE20" s="86"/>
      <c r="AF20" s="86"/>
      <c r="AG20" s="79"/>
      <c r="AH20" s="86"/>
      <c r="AI20" s="79"/>
    </row>
    <row r="21" spans="1:35" s="77" customFormat="1" ht="30" customHeight="1" x14ac:dyDescent="0.25">
      <c r="A21" s="68">
        <v>187</v>
      </c>
      <c r="B21" s="69" t="str">
        <f t="shared" ca="1" si="0"/>
        <v>C.4</v>
      </c>
      <c r="C21" s="70">
        <f t="shared" ca="1" si="1"/>
        <v>2</v>
      </c>
      <c r="D21" s="20"/>
      <c r="E21" s="111" t="str">
        <f t="shared" ca="1" si="2"/>
        <v>Step 4</v>
      </c>
      <c r="F21" s="108" t="str">
        <f t="shared" ca="1" si="3"/>
        <v>Evaluate penetration testing effectiveness</v>
      </c>
      <c r="G21" s="193" t="str">
        <f ca="1">"Maturity level:  "&amp;O21</f>
        <v>Maturity level:  Level 1</v>
      </c>
      <c r="H21" s="194"/>
      <c r="I21" s="172"/>
      <c r="J21" s="107"/>
      <c r="K21" s="107"/>
      <c r="L21" s="107" t="str">
        <f ca="1">TEXT(B21,"0.0")</f>
        <v>C.4</v>
      </c>
      <c r="M21" s="106">
        <f ca="1">SUMIF(Y:Y,L21,G:G)/(SUMIF(Y:Y,L21,X:X))</f>
        <v>0</v>
      </c>
      <c r="N21" s="106" t="str">
        <f ca="1">HLOOKUP(M21*100,level_ref,2,TRUE)</f>
        <v>Level 1</v>
      </c>
      <c r="O21" s="106" t="str">
        <f ca="1">IF(ISERROR(N21),"",N21)</f>
        <v>Level 1</v>
      </c>
      <c r="P21" s="106">
        <f ca="1">HLOOKUP(M21*100,level_ref,3,TRUE)</f>
        <v>1</v>
      </c>
      <c r="Q21" s="106">
        <f ca="1">IF(ISERROR(P21),"",P21)</f>
        <v>1</v>
      </c>
      <c r="R21" s="106">
        <f ca="1">M21*5</f>
        <v>0</v>
      </c>
      <c r="S21" s="106"/>
      <c r="T21" s="106"/>
      <c r="U21" s="106" t="str">
        <f ca="1">IF(AND(C21&gt;4,VLOOKUP(A21,Assess_C_Reference,34,FALSE)&lt;&gt;8),LEFT(B21,3),"")</f>
        <v/>
      </c>
      <c r="V21" s="106">
        <f ca="1">VLOOKUP(A21,Weightings_Assessments,24,FALSE)</f>
        <v>0</v>
      </c>
      <c r="W21" s="106">
        <f ca="1">IF(VLOOKUP(A21,Assess_C_Reference,34,FALSE)=8,0,1)</f>
        <v>1</v>
      </c>
      <c r="X21" s="106">
        <f ca="1">W21*V21*4</f>
        <v>0</v>
      </c>
      <c r="Y21" s="77" t="str">
        <f ca="1">AG21&amp;U21</f>
        <v/>
      </c>
      <c r="AD21" s="86"/>
      <c r="AE21" s="86"/>
      <c r="AF21" s="86"/>
      <c r="AG21" s="79"/>
      <c r="AH21" s="86"/>
      <c r="AI21" s="79"/>
    </row>
    <row r="22" spans="1:35" s="77" customFormat="1" ht="30" customHeight="1" x14ac:dyDescent="0.25">
      <c r="A22" s="68">
        <v>188</v>
      </c>
      <c r="B22" s="69" t="str">
        <f t="shared" ca="1" si="0"/>
        <v>C.4.01</v>
      </c>
      <c r="C22" s="70">
        <f t="shared" ca="1" si="1"/>
        <v>5</v>
      </c>
      <c r="D22" s="20"/>
      <c r="E22" s="91" t="str">
        <f t="shared" ca="1" si="2"/>
        <v>C.4.01</v>
      </c>
      <c r="F22" s="72" t="str">
        <f t="shared" ca="1" si="3"/>
        <v>Is the effectiveness of your penetration testing evaluated?</v>
      </c>
      <c r="G22" s="195" t="str">
        <f ca="1">VLOOKUP($A22,Assess_C_Reference,15,FALSE)</f>
        <v/>
      </c>
      <c r="H22" s="195">
        <f ca="1">(VLOOKUP(LEFT($B22,3),Targets_Lookup,5,FALSE))*VLOOKUP($A22,Weightings_Assessments,23,FALSE)</f>
        <v>4</v>
      </c>
      <c r="I22" s="72" t="str">
        <f ca="1">IF(VLOOKUP(A22,Assess_C_Reference,16,FALSE)=0,"",VLOOKUP(A22,Assess_C_Reference,16,FALSE))</f>
        <v/>
      </c>
      <c r="J22" s="70"/>
      <c r="K22" s="70"/>
      <c r="L22" s="70"/>
      <c r="M22" s="70"/>
      <c r="N22" s="70"/>
      <c r="O22" s="70"/>
      <c r="P22" s="70"/>
      <c r="Q22" s="70"/>
      <c r="R22" s="70"/>
      <c r="S22" s="70"/>
      <c r="T22" s="78"/>
      <c r="U22" s="106" t="str">
        <f ca="1">IF(AND(C22&gt;4,VLOOKUP(A22,Assess_C_Reference,34,FALSE)&lt;&gt;8),LEFT(B22,3),"")</f>
        <v>C.4</v>
      </c>
      <c r="V22" s="106">
        <f ca="1">VLOOKUP(A22,Weightings_Assessments,24,FALSE)</f>
        <v>1</v>
      </c>
      <c r="W22" s="106">
        <f ca="1">IF(VLOOKUP(A22,Assess_C_Reference,34,FALSE)=8,0,1)</f>
        <v>1</v>
      </c>
      <c r="X22" s="106">
        <f ca="1">W22*V22*4</f>
        <v>4</v>
      </c>
      <c r="Y22" s="77" t="str">
        <f ca="1">AG22&amp;U22</f>
        <v>C.4</v>
      </c>
      <c r="AD22" s="86"/>
      <c r="AE22" s="86"/>
      <c r="AF22" s="86"/>
      <c r="AG22" s="79"/>
      <c r="AH22" s="86"/>
      <c r="AI22" s="79"/>
    </row>
    <row r="23" spans="1:35" s="77" customFormat="1" ht="30" customHeight="1" x14ac:dyDescent="0.25">
      <c r="A23" s="68">
        <v>189</v>
      </c>
      <c r="B23" s="69" t="str">
        <f t="shared" ca="1" si="0"/>
        <v>C.4.02</v>
      </c>
      <c r="C23" s="70">
        <f t="shared" ca="1" si="1"/>
        <v>5</v>
      </c>
      <c r="D23" s="20"/>
      <c r="E23" s="91" t="str">
        <f t="shared" ca="1" si="2"/>
        <v>C.4.02</v>
      </c>
      <c r="F23" s="72" t="str">
        <f t="shared" ca="1" si="3"/>
        <v>Does evaluation of test effectiveness cover the full range of required actions?</v>
      </c>
      <c r="G23" s="195" t="str">
        <f ca="1">VLOOKUP($A23,Assess_C_Reference,15,FALSE)</f>
        <v/>
      </c>
      <c r="H23" s="195">
        <f ca="1">(VLOOKUP(LEFT($B23,3),Targets_Lookup,5,FALSE))*VLOOKUP($A23,Weightings_Assessments,23,FALSE)</f>
        <v>20</v>
      </c>
      <c r="I23" s="72" t="str">
        <f ca="1">IF(VLOOKUP(A23,Assess_C_Reference,16,FALSE)=0,"",VLOOKUP(A23,Assess_C_Reference,16,FALSE))</f>
        <v/>
      </c>
      <c r="J23" s="70"/>
      <c r="K23" s="70"/>
      <c r="L23" s="70"/>
      <c r="M23" s="70"/>
      <c r="N23" s="70"/>
      <c r="O23" s="70"/>
      <c r="P23" s="70"/>
      <c r="Q23" s="70"/>
      <c r="R23" s="70"/>
      <c r="S23" s="70"/>
      <c r="T23" s="78"/>
      <c r="U23" s="106" t="str">
        <f ca="1">IF(AND(C23&gt;4,VLOOKUP(A23,Assess_C_Reference,34,FALSE)&lt;&gt;8),LEFT(B23,3),"")</f>
        <v>C.4</v>
      </c>
      <c r="V23" s="106">
        <f ca="1">VLOOKUP(A23,Weightings_Assessments,24,FALSE)</f>
        <v>5</v>
      </c>
      <c r="W23" s="106">
        <f ca="1">IF(VLOOKUP(A23,Assess_C_Reference,34,FALSE)=8,0,1)</f>
        <v>1</v>
      </c>
      <c r="X23" s="106">
        <f ca="1">W23*V23*4</f>
        <v>20</v>
      </c>
      <c r="Y23" s="77" t="str">
        <f ca="1">AG23&amp;U23</f>
        <v>C.4</v>
      </c>
      <c r="AD23" s="86"/>
      <c r="AE23" s="86"/>
      <c r="AF23" s="86"/>
      <c r="AG23" s="79"/>
      <c r="AH23" s="86"/>
      <c r="AI23" s="79"/>
    </row>
    <row r="24" spans="1:35" s="77" customFormat="1" ht="75" x14ac:dyDescent="0.25">
      <c r="A24" s="68">
        <v>190</v>
      </c>
      <c r="B24" s="69" t="str">
        <f t="shared" ca="1" si="0"/>
        <v/>
      </c>
      <c r="C24" s="70">
        <f t="shared" ca="1" si="1"/>
        <v>3</v>
      </c>
      <c r="D24" s="20"/>
      <c r="E24" s="91" t="str">
        <f t="shared" ca="1" si="2"/>
        <v/>
      </c>
      <c r="F24" s="166" t="str">
        <f t="shared" ca="1" si="3"/>
        <v>Evaluation of the effectiveness of penetration testing should include: determining if objectives were met; assessing if sufficient weaknesses were identified; reviewing exploitations undertaken; comparing test results to external benchmarks; and determining if value for money was obtained from your service provider.</v>
      </c>
      <c r="G24" s="85"/>
      <c r="H24" s="85"/>
      <c r="I24" s="72"/>
      <c r="J24" s="70"/>
      <c r="K24" s="70"/>
      <c r="L24" s="70"/>
      <c r="M24" s="70"/>
      <c r="N24" s="70"/>
      <c r="O24" s="70"/>
      <c r="P24" s="70"/>
      <c r="Q24" s="70"/>
      <c r="R24" s="70"/>
      <c r="S24" s="70"/>
      <c r="T24" s="78"/>
      <c r="U24" s="78"/>
      <c r="V24" s="78"/>
      <c r="W24" s="78"/>
      <c r="X24" s="78"/>
      <c r="AD24" s="86"/>
      <c r="AE24" s="86"/>
      <c r="AF24" s="86"/>
      <c r="AG24" s="79"/>
      <c r="AH24" s="86"/>
      <c r="AI24" s="79"/>
    </row>
    <row r="25" spans="1:35" s="77" customFormat="1" ht="30" customHeight="1" x14ac:dyDescent="0.25">
      <c r="A25" s="68">
        <v>191</v>
      </c>
      <c r="B25" s="69" t="str">
        <f t="shared" ca="1" si="0"/>
        <v>C.5</v>
      </c>
      <c r="C25" s="70">
        <f t="shared" ca="1" si="1"/>
        <v>2</v>
      </c>
      <c r="D25" s="20"/>
      <c r="E25" s="111" t="str">
        <f t="shared" ca="1" si="2"/>
        <v>Step 5</v>
      </c>
      <c r="F25" s="108" t="str">
        <f t="shared" ca="1" si="3"/>
        <v>Build on lessons learned</v>
      </c>
      <c r="G25" s="193" t="str">
        <f ca="1">"Maturity level:  "&amp;O25</f>
        <v>Maturity level:  Level 1</v>
      </c>
      <c r="H25" s="194"/>
      <c r="I25" s="172"/>
      <c r="J25" s="107"/>
      <c r="K25" s="107"/>
      <c r="L25" s="107" t="str">
        <f ca="1">TEXT(B25,"0.0")</f>
        <v>C.5</v>
      </c>
      <c r="M25" s="106">
        <f ca="1">SUMIF(Y:Y,L25,G:G)/(SUMIF(Y:Y,L25,X:X))</f>
        <v>0</v>
      </c>
      <c r="N25" s="106" t="str">
        <f ca="1">HLOOKUP(M25*100,level_ref,2,TRUE)</f>
        <v>Level 1</v>
      </c>
      <c r="O25" s="106" t="str">
        <f ca="1">IF(ISERROR(N25),"",N25)</f>
        <v>Level 1</v>
      </c>
      <c r="P25" s="106">
        <f ca="1">HLOOKUP(M25*100,level_ref,3,TRUE)</f>
        <v>1</v>
      </c>
      <c r="Q25" s="106">
        <f ca="1">IF(ISERROR(P25),"",P25)</f>
        <v>1</v>
      </c>
      <c r="R25" s="106">
        <f ca="1">M25*5</f>
        <v>0</v>
      </c>
      <c r="S25" s="106"/>
      <c r="T25" s="106"/>
      <c r="U25" s="106" t="str">
        <f t="shared" ref="U25:U36" ca="1" si="4">IF(AND(C25&gt;4,VLOOKUP(A25,Assess_C_Reference,34,FALSE)&lt;&gt;8),LEFT(B25,3),"")</f>
        <v/>
      </c>
      <c r="V25" s="106">
        <f t="shared" ref="V25:V36" ca="1" si="5">VLOOKUP(A25,Weightings_Assessments,24,FALSE)</f>
        <v>0</v>
      </c>
      <c r="W25" s="106">
        <f t="shared" ref="W25:W36" ca="1" si="6">IF(VLOOKUP(A25,Assess_C_Reference,34,FALSE)=8,0,1)</f>
        <v>1</v>
      </c>
      <c r="X25" s="106">
        <f ca="1">W25*V25*4</f>
        <v>0</v>
      </c>
      <c r="Y25" s="77" t="str">
        <f ca="1">AG25&amp;U25</f>
        <v/>
      </c>
      <c r="AD25" s="86"/>
      <c r="AE25" s="86"/>
      <c r="AF25" s="86"/>
      <c r="AG25" s="79"/>
      <c r="AH25" s="86"/>
      <c r="AI25" s="79"/>
    </row>
    <row r="26" spans="1:35" s="77" customFormat="1" ht="30" customHeight="1" x14ac:dyDescent="0.25">
      <c r="A26" s="68">
        <v>192</v>
      </c>
      <c r="B26" s="69" t="str">
        <f t="shared" ca="1" si="0"/>
        <v>C.5.01</v>
      </c>
      <c r="C26" s="70">
        <f t="shared" ca="1" si="1"/>
        <v>5</v>
      </c>
      <c r="D26" s="20"/>
      <c r="E26" s="91" t="str">
        <f t="shared" ca="1" si="2"/>
        <v>C.5.01</v>
      </c>
      <c r="F26" s="72" t="str">
        <f t="shared" ca="1" si="3"/>
        <v>Does your penetration testing approach include identifying lessons learned, disseminating them to relevant stakeholders and acting on them?</v>
      </c>
      <c r="G26" s="195" t="str">
        <f ca="1">VLOOKUP($A26,Assess_C_Reference,15,FALSE)</f>
        <v/>
      </c>
      <c r="H26" s="195">
        <f ca="1">(VLOOKUP(LEFT($B26,3),Targets_Lookup,5,FALSE))*VLOOKUP($A26,Weightings_Assessments,23,FALSE)</f>
        <v>4</v>
      </c>
      <c r="I26" s="72" t="str">
        <f ca="1">IF(VLOOKUP(A26,Assess_C_Reference,16,FALSE)=0,"",VLOOKUP(A26,Assess_C_Reference,16,FALSE))</f>
        <v/>
      </c>
      <c r="J26" s="70"/>
      <c r="K26" s="70"/>
      <c r="L26" s="70"/>
      <c r="M26" s="70"/>
      <c r="N26" s="70"/>
      <c r="O26" s="70"/>
      <c r="P26" s="70"/>
      <c r="Q26" s="70"/>
      <c r="R26" s="70"/>
      <c r="S26" s="70"/>
      <c r="T26" s="78"/>
      <c r="U26" s="106" t="str">
        <f t="shared" ca="1" si="4"/>
        <v>C.5</v>
      </c>
      <c r="V26" s="106">
        <f t="shared" ca="1" si="5"/>
        <v>1</v>
      </c>
      <c r="W26" s="106">
        <f t="shared" ca="1" si="6"/>
        <v>1</v>
      </c>
      <c r="X26" s="106">
        <f t="shared" ref="X26:X28" ca="1" si="7">W26*V26*4</f>
        <v>4</v>
      </c>
      <c r="Y26" s="77" t="str">
        <f t="shared" ref="Y26:Y28" ca="1" si="8">AG26&amp;U26</f>
        <v>C.5</v>
      </c>
      <c r="AD26" s="86"/>
      <c r="AE26" s="86"/>
      <c r="AF26" s="86"/>
      <c r="AG26" s="79"/>
      <c r="AH26" s="86"/>
      <c r="AI26" s="79"/>
    </row>
    <row r="27" spans="1:35" s="77" customFormat="1" ht="30" customHeight="1" x14ac:dyDescent="0.25">
      <c r="A27" s="68">
        <v>193</v>
      </c>
      <c r="B27" s="69" t="str">
        <f t="shared" ca="1" si="0"/>
        <v>C.5.02</v>
      </c>
      <c r="C27" s="70">
        <f t="shared" ca="1" si="1"/>
        <v>5</v>
      </c>
      <c r="D27" s="20"/>
      <c r="E27" s="91" t="str">
        <f t="shared" ca="1" si="2"/>
        <v>C.5.02</v>
      </c>
      <c r="F27" s="72" t="str">
        <f t="shared" ca="1" si="3"/>
        <v>Are lessons learned used to help in planning future tests, and provide feedback to service providers to help them improve processes?</v>
      </c>
      <c r="G27" s="195" t="str">
        <f ca="1">VLOOKUP($A27,Assess_C_Reference,15,FALSE)</f>
        <v/>
      </c>
      <c r="H27" s="195">
        <f ca="1">(VLOOKUP(LEFT($B27,3),Targets_Lookup,5,FALSE))*VLOOKUP($A27,Weightings_Assessments,23,FALSE)</f>
        <v>20</v>
      </c>
      <c r="I27" s="72" t="str">
        <f ca="1">IF(VLOOKUP(A27,Assess_C_Reference,16,FALSE)=0,"",VLOOKUP(A27,Assess_C_Reference,16,FALSE))</f>
        <v/>
      </c>
      <c r="J27" s="70"/>
      <c r="K27" s="70"/>
      <c r="L27" s="70"/>
      <c r="M27" s="70"/>
      <c r="N27" s="70"/>
      <c r="O27" s="70"/>
      <c r="P27" s="70"/>
      <c r="Q27" s="70"/>
      <c r="R27" s="70"/>
      <c r="S27" s="70"/>
      <c r="T27" s="78"/>
      <c r="U27" s="106" t="str">
        <f t="shared" ca="1" si="4"/>
        <v>C.5</v>
      </c>
      <c r="V27" s="106">
        <f t="shared" ca="1" si="5"/>
        <v>5</v>
      </c>
      <c r="W27" s="106">
        <f t="shared" ca="1" si="6"/>
        <v>1</v>
      </c>
      <c r="X27" s="106">
        <f t="shared" ca="1" si="7"/>
        <v>20</v>
      </c>
      <c r="Y27" s="77" t="str">
        <f t="shared" ca="1" si="8"/>
        <v>C.5</v>
      </c>
      <c r="AD27" s="86"/>
      <c r="AE27" s="86"/>
      <c r="AF27" s="86"/>
      <c r="AG27" s="79"/>
      <c r="AH27" s="86"/>
      <c r="AI27" s="79"/>
    </row>
    <row r="28" spans="1:35" s="77" customFormat="1" ht="45" x14ac:dyDescent="0.25">
      <c r="A28" s="68">
        <v>194</v>
      </c>
      <c r="B28" s="69" t="str">
        <f t="shared" ca="1" si="0"/>
        <v>C.5.03</v>
      </c>
      <c r="C28" s="70">
        <f t="shared" ca="1" si="1"/>
        <v>5</v>
      </c>
      <c r="D28" s="20"/>
      <c r="E28" s="91" t="str">
        <f t="shared" ca="1" si="2"/>
        <v>C.5.03</v>
      </c>
      <c r="F28" s="72" t="str">
        <f t="shared" ca="1" si="3"/>
        <v>When addressing the weaknesses identified in an environment, are good practices identified (including fixes) and then applied to a wide range of other environments?</v>
      </c>
      <c r="G28" s="195" t="str">
        <f ca="1">VLOOKUP($A28,Assess_C_Reference,15,FALSE)</f>
        <v/>
      </c>
      <c r="H28" s="195">
        <f ca="1">(VLOOKUP(LEFT($B28,3),Targets_Lookup,5,FALSE))*VLOOKUP($A28,Weightings_Assessments,23,FALSE)</f>
        <v>4</v>
      </c>
      <c r="I28" s="72" t="str">
        <f ca="1">IF(VLOOKUP(A28,Assess_C_Reference,16,FALSE)=0,"",VLOOKUP(A28,Assess_C_Reference,16,FALSE))</f>
        <v/>
      </c>
      <c r="J28" s="70"/>
      <c r="K28" s="70"/>
      <c r="L28" s="70"/>
      <c r="M28" s="70"/>
      <c r="N28" s="70"/>
      <c r="O28" s="70"/>
      <c r="P28" s="70"/>
      <c r="Q28" s="70"/>
      <c r="R28" s="70"/>
      <c r="S28" s="70"/>
      <c r="T28" s="78"/>
      <c r="U28" s="106" t="str">
        <f t="shared" ca="1" si="4"/>
        <v>C.5</v>
      </c>
      <c r="V28" s="106">
        <f t="shared" ca="1" si="5"/>
        <v>1</v>
      </c>
      <c r="W28" s="106">
        <f t="shared" ca="1" si="6"/>
        <v>1</v>
      </c>
      <c r="X28" s="106">
        <f t="shared" ca="1" si="7"/>
        <v>4</v>
      </c>
      <c r="Y28" s="77" t="str">
        <f t="shared" ca="1" si="8"/>
        <v>C.5</v>
      </c>
      <c r="AD28" s="86"/>
      <c r="AE28" s="86"/>
      <c r="AF28" s="86"/>
      <c r="AG28" s="79"/>
      <c r="AH28" s="86"/>
      <c r="AI28" s="79"/>
    </row>
    <row r="29" spans="1:35" s="77" customFormat="1" ht="60" x14ac:dyDescent="0.25">
      <c r="A29" s="68">
        <v>195</v>
      </c>
      <c r="B29" s="69" t="str">
        <f t="shared" ca="1" si="0"/>
        <v>C.5.04</v>
      </c>
      <c r="C29" s="70">
        <f t="shared" ca="1" si="1"/>
        <v>5</v>
      </c>
      <c r="D29" s="20"/>
      <c r="E29" s="91" t="str">
        <f t="shared" ca="1" si="2"/>
        <v>C.5.04</v>
      </c>
      <c r="F29" s="72" t="str">
        <f t="shared" ca="1" si="3"/>
        <v>Are good practices rolled out by:  performing trend analysis across multiple systems; applying lessons learnt during a penetration test of one application to similar applications; and fixing root causes endemically?</v>
      </c>
      <c r="G29" s="195" t="str">
        <f ca="1">VLOOKUP($A29,Assess_C_Reference,15,FALSE)</f>
        <v/>
      </c>
      <c r="H29" s="195">
        <f ca="1">(VLOOKUP(LEFT($B29,3),Targets_Lookup,5,FALSE))*VLOOKUP($A29,Weightings_Assessments,23,FALSE)</f>
        <v>20</v>
      </c>
      <c r="I29" s="72" t="str">
        <f ca="1">IF(VLOOKUP(A29,Assess_C_Reference,16,FALSE)=0,"",VLOOKUP(A29,Assess_C_Reference,16,FALSE))</f>
        <v/>
      </c>
      <c r="J29" s="70"/>
      <c r="K29" s="70"/>
      <c r="L29" s="70"/>
      <c r="M29" s="70"/>
      <c r="N29" s="70"/>
      <c r="O29" s="70"/>
      <c r="P29" s="70"/>
      <c r="Q29" s="70"/>
      <c r="R29" s="70"/>
      <c r="S29" s="70"/>
      <c r="T29" s="78"/>
      <c r="U29" s="106" t="str">
        <f t="shared" ca="1" si="4"/>
        <v>C.5</v>
      </c>
      <c r="V29" s="106">
        <f t="shared" ca="1" si="5"/>
        <v>5</v>
      </c>
      <c r="W29" s="106">
        <f t="shared" ca="1" si="6"/>
        <v>1</v>
      </c>
      <c r="X29" s="106">
        <f t="shared" ref="X29:X36" ca="1" si="9">W29*V29*4</f>
        <v>20</v>
      </c>
      <c r="Y29" s="77" t="str">
        <f t="shared" ref="Y29:Y36" ca="1" si="10">AG29&amp;U29</f>
        <v>C.5</v>
      </c>
      <c r="AD29" s="86"/>
      <c r="AE29" s="86"/>
      <c r="AF29" s="86"/>
      <c r="AG29" s="79"/>
      <c r="AH29" s="86"/>
      <c r="AI29" s="79"/>
    </row>
    <row r="30" spans="1:35" s="77" customFormat="1" ht="30" customHeight="1" x14ac:dyDescent="0.25">
      <c r="A30" s="68">
        <v>196</v>
      </c>
      <c r="B30" s="69" t="str">
        <f t="shared" ca="1" si="0"/>
        <v>C.6</v>
      </c>
      <c r="C30" s="70">
        <f t="shared" ca="1" si="1"/>
        <v>2</v>
      </c>
      <c r="D30" s="20"/>
      <c r="E30" s="111" t="str">
        <f t="shared" ca="1" si="2"/>
        <v>Step 6</v>
      </c>
      <c r="F30" s="108" t="str">
        <f t="shared" ca="1" si="3"/>
        <v>Create and monitor action plans</v>
      </c>
      <c r="G30" s="193" t="str">
        <f ca="1">"Maturity level:  "&amp;O30</f>
        <v>Maturity level:  Level 1</v>
      </c>
      <c r="H30" s="194"/>
      <c r="I30" s="172"/>
      <c r="J30" s="107"/>
      <c r="K30" s="107"/>
      <c r="L30" s="107" t="str">
        <f ca="1">TEXT(B30,"0.0")</f>
        <v>C.6</v>
      </c>
      <c r="M30" s="106">
        <f ca="1">SUMIF(Y:Y,L30,G:G)/(SUMIF(Y:Y,L30,X:X))</f>
        <v>0</v>
      </c>
      <c r="N30" s="106" t="str">
        <f ca="1">HLOOKUP(M30*100,level_ref,2,TRUE)</f>
        <v>Level 1</v>
      </c>
      <c r="O30" s="106" t="str">
        <f ca="1">IF(ISERROR(N30),"",N30)</f>
        <v>Level 1</v>
      </c>
      <c r="P30" s="106">
        <f ca="1">HLOOKUP(M30*100,level_ref,3,TRUE)</f>
        <v>1</v>
      </c>
      <c r="Q30" s="106">
        <f ca="1">IF(ISERROR(P30),"",P30)</f>
        <v>1</v>
      </c>
      <c r="R30" s="106">
        <f ca="1">M30*5</f>
        <v>0</v>
      </c>
      <c r="S30" s="106"/>
      <c r="T30" s="106"/>
      <c r="U30" s="106" t="str">
        <f t="shared" ca="1" si="4"/>
        <v/>
      </c>
      <c r="V30" s="106">
        <f t="shared" ca="1" si="5"/>
        <v>0</v>
      </c>
      <c r="W30" s="106">
        <f t="shared" ca="1" si="6"/>
        <v>1</v>
      </c>
      <c r="X30" s="106">
        <f t="shared" ca="1" si="9"/>
        <v>0</v>
      </c>
      <c r="Y30" s="77" t="str">
        <f t="shared" ca="1" si="10"/>
        <v/>
      </c>
      <c r="AD30" s="86"/>
      <c r="AE30" s="86"/>
      <c r="AF30" s="86"/>
      <c r="AG30" s="79"/>
      <c r="AH30" s="86"/>
      <c r="AI30" s="79"/>
    </row>
    <row r="31" spans="1:35" s="77" customFormat="1" ht="30" customHeight="1" x14ac:dyDescent="0.25">
      <c r="A31" s="68">
        <v>197</v>
      </c>
      <c r="B31" s="69" t="str">
        <f t="shared" ca="1" si="0"/>
        <v>C.6.01</v>
      </c>
      <c r="C31" s="70">
        <f t="shared" ca="1" si="1"/>
        <v>5</v>
      </c>
      <c r="D31" s="20"/>
      <c r="E31" s="91" t="str">
        <f t="shared" ca="1" si="2"/>
        <v>C.6.01</v>
      </c>
      <c r="F31" s="72" t="str">
        <f t="shared" ca="1" si="3"/>
        <v>Are action plans created to help act upon follow-up activities undertaken?</v>
      </c>
      <c r="G31" s="195" t="str">
        <f t="shared" ref="G31:G36" ca="1" si="11">VLOOKUP($A31,Assess_C_Reference,15,FALSE)</f>
        <v/>
      </c>
      <c r="H31" s="195">
        <f t="shared" ref="H31:H36" ca="1" si="12">(VLOOKUP(LEFT($B31,3),Targets_Lookup,5,FALSE))*VLOOKUP($A31,Weightings_Assessments,23,FALSE)</f>
        <v>4</v>
      </c>
      <c r="I31" s="72" t="str">
        <f t="shared" ref="I31:I36" ca="1" si="13">IF(VLOOKUP(A31,Assess_C_Reference,16,FALSE)=0,"",VLOOKUP(A31,Assess_C_Reference,16,FALSE))</f>
        <v/>
      </c>
      <c r="J31" s="70"/>
      <c r="K31" s="70"/>
      <c r="L31" s="70"/>
      <c r="M31" s="70"/>
      <c r="N31" s="70"/>
      <c r="O31" s="70"/>
      <c r="P31" s="70"/>
      <c r="Q31" s="70"/>
      <c r="R31" s="70"/>
      <c r="S31" s="70"/>
      <c r="T31" s="78"/>
      <c r="U31" s="106" t="str">
        <f t="shared" ca="1" si="4"/>
        <v>C.6</v>
      </c>
      <c r="V31" s="106">
        <f t="shared" ca="1" si="5"/>
        <v>1</v>
      </c>
      <c r="W31" s="106">
        <f t="shared" ca="1" si="6"/>
        <v>1</v>
      </c>
      <c r="X31" s="106">
        <f t="shared" ca="1" si="9"/>
        <v>4</v>
      </c>
      <c r="Y31" s="77" t="str">
        <f t="shared" ca="1" si="10"/>
        <v>C.6</v>
      </c>
      <c r="AD31" s="86"/>
      <c r="AE31" s="86"/>
      <c r="AF31" s="86"/>
      <c r="AG31" s="79"/>
      <c r="AH31" s="86"/>
      <c r="AI31" s="79"/>
    </row>
    <row r="32" spans="1:35" s="77" customFormat="1" ht="45" x14ac:dyDescent="0.25">
      <c r="A32" s="68">
        <v>198</v>
      </c>
      <c r="B32" s="69" t="str">
        <f t="shared" ca="1" si="0"/>
        <v>C.6.02</v>
      </c>
      <c r="C32" s="70">
        <f t="shared" ca="1" si="1"/>
        <v>5</v>
      </c>
      <c r="D32" s="20"/>
      <c r="E32" s="91" t="str">
        <f t="shared" ca="1" si="2"/>
        <v>C.6.02</v>
      </c>
      <c r="F32" s="72" t="str">
        <f t="shared" ca="1" si="3"/>
        <v>Are action plans formally documented, formulated by competent technical experts, reviewed by business management and signed-off by senior management?</v>
      </c>
      <c r="G32" s="195" t="str">
        <f t="shared" ca="1" si="11"/>
        <v/>
      </c>
      <c r="H32" s="195">
        <f t="shared" ca="1" si="12"/>
        <v>12</v>
      </c>
      <c r="I32" s="72" t="str">
        <f t="shared" ca="1" si="13"/>
        <v/>
      </c>
      <c r="J32" s="70"/>
      <c r="K32" s="70"/>
      <c r="L32" s="70"/>
      <c r="M32" s="70"/>
      <c r="N32" s="70"/>
      <c r="O32" s="70"/>
      <c r="P32" s="70"/>
      <c r="Q32" s="70"/>
      <c r="R32" s="70"/>
      <c r="S32" s="70"/>
      <c r="T32" s="78"/>
      <c r="U32" s="106" t="str">
        <f t="shared" ca="1" si="4"/>
        <v>C.6</v>
      </c>
      <c r="V32" s="106">
        <f t="shared" ca="1" si="5"/>
        <v>3</v>
      </c>
      <c r="W32" s="106">
        <f t="shared" ca="1" si="6"/>
        <v>1</v>
      </c>
      <c r="X32" s="106">
        <f t="shared" ca="1" si="9"/>
        <v>12</v>
      </c>
      <c r="Y32" s="77" t="str">
        <f t="shared" ca="1" si="10"/>
        <v>C.6</v>
      </c>
      <c r="AD32" s="86"/>
      <c r="AE32" s="86"/>
      <c r="AF32" s="86"/>
      <c r="AG32" s="79"/>
      <c r="AH32" s="86"/>
      <c r="AI32" s="79"/>
    </row>
    <row r="33" spans="1:35" s="77" customFormat="1" ht="45" x14ac:dyDescent="0.25">
      <c r="A33" s="68">
        <v>199</v>
      </c>
      <c r="B33" s="69" t="str">
        <f t="shared" ca="1" si="0"/>
        <v>C.6.03</v>
      </c>
      <c r="C33" s="70">
        <f t="shared" ca="1" si="1"/>
        <v>5</v>
      </c>
      <c r="D33" s="20"/>
      <c r="E33" s="91" t="str">
        <f t="shared" ca="1" si="2"/>
        <v>C.6.03</v>
      </c>
      <c r="F33" s="72" t="str">
        <f t="shared" ca="1" si="3"/>
        <v>Do action plans outline all the relevant actions to be taken to prevent vulnerabilities identified through testing from recurring and help improve the overall information security programme</v>
      </c>
      <c r="G33" s="195" t="str">
        <f t="shared" ca="1" si="11"/>
        <v/>
      </c>
      <c r="H33" s="195">
        <f t="shared" ca="1" si="12"/>
        <v>12</v>
      </c>
      <c r="I33" s="72" t="str">
        <f t="shared" ca="1" si="13"/>
        <v/>
      </c>
      <c r="J33" s="70"/>
      <c r="K33" s="70"/>
      <c r="L33" s="70"/>
      <c r="M33" s="70"/>
      <c r="N33" s="70"/>
      <c r="O33" s="70"/>
      <c r="P33" s="70"/>
      <c r="Q33" s="70"/>
      <c r="R33" s="70"/>
      <c r="S33" s="70"/>
      <c r="T33" s="78"/>
      <c r="U33" s="106" t="str">
        <f t="shared" ca="1" si="4"/>
        <v>C.6</v>
      </c>
      <c r="V33" s="106">
        <f t="shared" ca="1" si="5"/>
        <v>3</v>
      </c>
      <c r="W33" s="106">
        <f t="shared" ca="1" si="6"/>
        <v>1</v>
      </c>
      <c r="X33" s="106">
        <f t="shared" ca="1" si="9"/>
        <v>12</v>
      </c>
      <c r="Y33" s="77" t="str">
        <f t="shared" ca="1" si="10"/>
        <v>C.6</v>
      </c>
      <c r="AD33" s="86"/>
      <c r="AE33" s="86"/>
      <c r="AF33" s="86"/>
      <c r="AG33" s="79"/>
      <c r="AH33" s="86"/>
      <c r="AI33" s="79"/>
    </row>
    <row r="34" spans="1:35" s="77" customFormat="1" ht="45" x14ac:dyDescent="0.25">
      <c r="A34" s="68">
        <v>200</v>
      </c>
      <c r="B34" s="69" t="str">
        <f t="shared" ca="1" si="0"/>
        <v>C.6.04</v>
      </c>
      <c r="C34" s="70">
        <f t="shared" ca="1" si="1"/>
        <v>5</v>
      </c>
      <c r="D34" s="20"/>
      <c r="E34" s="91" t="str">
        <f t="shared" ca="1" si="2"/>
        <v>C.6.04</v>
      </c>
      <c r="F34" s="72" t="str">
        <f t="shared" ca="1" si="3"/>
        <v>Do action plans include a brief description of each action, including their priority and category; individuals responsible and accountable for each action; and target dates for completion</v>
      </c>
      <c r="G34" s="195" t="str">
        <f t="shared" ca="1" si="11"/>
        <v/>
      </c>
      <c r="H34" s="195">
        <f t="shared" ca="1" si="12"/>
        <v>12</v>
      </c>
      <c r="I34" s="72" t="str">
        <f t="shared" ca="1" si="13"/>
        <v/>
      </c>
      <c r="J34" s="70"/>
      <c r="K34" s="70"/>
      <c r="L34" s="70"/>
      <c r="M34" s="70"/>
      <c r="N34" s="70"/>
      <c r="O34" s="70"/>
      <c r="P34" s="70"/>
      <c r="Q34" s="70"/>
      <c r="R34" s="70"/>
      <c r="S34" s="70"/>
      <c r="T34" s="78"/>
      <c r="U34" s="106" t="str">
        <f t="shared" ca="1" si="4"/>
        <v>C.6</v>
      </c>
      <c r="V34" s="106">
        <f t="shared" ca="1" si="5"/>
        <v>3</v>
      </c>
      <c r="W34" s="106">
        <f t="shared" ca="1" si="6"/>
        <v>1</v>
      </c>
      <c r="X34" s="106">
        <f t="shared" ca="1" si="9"/>
        <v>12</v>
      </c>
      <c r="Y34" s="77" t="str">
        <f t="shared" ca="1" si="10"/>
        <v>C.6</v>
      </c>
      <c r="AD34" s="86"/>
      <c r="AE34" s="86"/>
      <c r="AF34" s="86"/>
      <c r="AG34" s="79"/>
      <c r="AH34" s="86"/>
      <c r="AI34" s="79"/>
    </row>
    <row r="35" spans="1:35" s="77" customFormat="1" ht="30" customHeight="1" x14ac:dyDescent="0.25">
      <c r="A35" s="68">
        <v>201</v>
      </c>
      <c r="B35" s="69" t="str">
        <f t="shared" ca="1" si="0"/>
        <v>C.6.05</v>
      </c>
      <c r="C35" s="70">
        <f t="shared" ca="1" si="1"/>
        <v>5</v>
      </c>
      <c r="D35" s="20"/>
      <c r="E35" s="91" t="str">
        <f t="shared" ca="1" si="2"/>
        <v>C.6.05</v>
      </c>
      <c r="F35" s="72" t="str">
        <f t="shared" ca="1" si="3"/>
        <v>Are action plans implemented effectively and on a timely basis?</v>
      </c>
      <c r="G35" s="195" t="str">
        <f t="shared" ca="1" si="11"/>
        <v/>
      </c>
      <c r="H35" s="195">
        <f t="shared" ca="1" si="12"/>
        <v>16</v>
      </c>
      <c r="I35" s="72" t="str">
        <f t="shared" ca="1" si="13"/>
        <v/>
      </c>
      <c r="J35" s="70"/>
      <c r="K35" s="70"/>
      <c r="L35" s="70"/>
      <c r="M35" s="70"/>
      <c r="N35" s="70"/>
      <c r="O35" s="70"/>
      <c r="P35" s="70"/>
      <c r="Q35" s="70"/>
      <c r="R35" s="70"/>
      <c r="S35" s="70"/>
      <c r="T35" s="78"/>
      <c r="U35" s="106" t="str">
        <f t="shared" ca="1" si="4"/>
        <v>C.6</v>
      </c>
      <c r="V35" s="106">
        <f t="shared" ca="1" si="5"/>
        <v>4</v>
      </c>
      <c r="W35" s="106">
        <f t="shared" ca="1" si="6"/>
        <v>1</v>
      </c>
      <c r="X35" s="106">
        <f t="shared" ca="1" si="9"/>
        <v>16</v>
      </c>
      <c r="Y35" s="77" t="str">
        <f t="shared" ca="1" si="10"/>
        <v>C.6</v>
      </c>
      <c r="AD35" s="86"/>
      <c r="AE35" s="86"/>
      <c r="AF35" s="86"/>
      <c r="AG35" s="79"/>
      <c r="AH35" s="86"/>
      <c r="AI35" s="79"/>
    </row>
    <row r="36" spans="1:35" s="77" customFormat="1" ht="45" x14ac:dyDescent="0.25">
      <c r="A36" s="68">
        <v>202</v>
      </c>
      <c r="B36" s="69" t="str">
        <f t="shared" ca="1" si="0"/>
        <v>C.6.06</v>
      </c>
      <c r="C36" s="70">
        <f t="shared" ca="1" si="1"/>
        <v>5</v>
      </c>
      <c r="D36" s="20"/>
      <c r="E36" s="91" t="str">
        <f t="shared" ca="1" si="2"/>
        <v>C.6.06</v>
      </c>
      <c r="F36" s="72" t="str">
        <f t="shared" ca="1" si="3"/>
        <v>Are action plans monitored on a regular basis to: ensure progress is being made; highlight any delays or difficulties being experienced; and reassess the level of risk?</v>
      </c>
      <c r="G36" s="195" t="str">
        <f t="shared" ca="1" si="11"/>
        <v/>
      </c>
      <c r="H36" s="195">
        <f t="shared" ca="1" si="12"/>
        <v>20</v>
      </c>
      <c r="I36" s="72" t="str">
        <f t="shared" ca="1" si="13"/>
        <v/>
      </c>
      <c r="J36" s="70"/>
      <c r="K36" s="70"/>
      <c r="L36" s="70"/>
      <c r="M36" s="70"/>
      <c r="N36" s="70"/>
      <c r="O36" s="70"/>
      <c r="P36" s="70"/>
      <c r="Q36" s="70"/>
      <c r="R36" s="70"/>
      <c r="S36" s="70"/>
      <c r="T36" s="78"/>
      <c r="U36" s="106" t="str">
        <f t="shared" ca="1" si="4"/>
        <v>C.6</v>
      </c>
      <c r="V36" s="106">
        <f t="shared" ca="1" si="5"/>
        <v>5</v>
      </c>
      <c r="W36" s="106">
        <f t="shared" ca="1" si="6"/>
        <v>1</v>
      </c>
      <c r="X36" s="106">
        <f t="shared" ca="1" si="9"/>
        <v>20</v>
      </c>
      <c r="Y36" s="77" t="str">
        <f t="shared" ca="1" si="10"/>
        <v>C.6</v>
      </c>
      <c r="AD36" s="86"/>
      <c r="AE36" s="86"/>
      <c r="AF36" s="86"/>
      <c r="AG36" s="79"/>
      <c r="AH36" s="86"/>
      <c r="AI36" s="79"/>
    </row>
  </sheetData>
  <sheetProtection algorithmName="SHA-512" hashValue="OG2p97SVS3L2JM2BjN98sPgmXI6Jo21gW7d7VepR2PYsOXGASHRfQxmpYGTh/H6V44MqawwNO6y3mVsWreDAUg==" saltValue="XSTYdBpO7wNLftgs/rnJmg==" spinCount="100000" sheet="1" objects="1" scenarios="1"/>
  <sortState xmlns:xlrd2="http://schemas.microsoft.com/office/spreadsheetml/2017/richdata2" ref="A8:AI36">
    <sortCondition ref="A8:A36"/>
  </sortState>
  <mergeCells count="2">
    <mergeCell ref="F2:I3"/>
    <mergeCell ref="F4:I5"/>
  </mergeCells>
  <conditionalFormatting sqref="G26:G28">
    <cfRule type="dataBar" priority="12">
      <dataBar>
        <cfvo type="num" val="0"/>
        <cfvo type="num" val="20"/>
        <color rgb="FF638EC6"/>
      </dataBar>
      <extLst>
        <ext xmlns:x14="http://schemas.microsoft.com/office/spreadsheetml/2009/9/main" uri="{B025F937-C7B1-47D3-B67F-A62EFF666E3E}">
          <x14:id>{BE0483F2-5B3B-4E2E-8686-A19BAF8E394F}</x14:id>
        </ext>
      </extLst>
    </cfRule>
  </conditionalFormatting>
  <conditionalFormatting sqref="H26:H28">
    <cfRule type="dataBar" priority="11">
      <dataBar>
        <cfvo type="num" val="0"/>
        <cfvo type="num" val="20"/>
        <color rgb="FF00B050"/>
      </dataBar>
      <extLst>
        <ext xmlns:x14="http://schemas.microsoft.com/office/spreadsheetml/2009/9/main" uri="{B025F937-C7B1-47D3-B67F-A62EFF666E3E}">
          <x14:id>{9FEEBCA9-6099-4D88-9DA2-B13325AF9250}</x14:id>
        </ext>
      </extLst>
    </cfRule>
  </conditionalFormatting>
  <conditionalFormatting sqref="G17">
    <cfRule type="dataBar" priority="42">
      <dataBar>
        <cfvo type="num" val="0"/>
        <cfvo type="num" val="20"/>
        <color rgb="FF638EC6"/>
      </dataBar>
      <extLst>
        <ext xmlns:x14="http://schemas.microsoft.com/office/spreadsheetml/2009/9/main" uri="{B025F937-C7B1-47D3-B67F-A62EFF666E3E}">
          <x14:id>{04BD9C59-1D9C-4B2C-A569-7DBE6826AB3E}</x14:id>
        </ext>
      </extLst>
    </cfRule>
  </conditionalFormatting>
  <conditionalFormatting sqref="H17">
    <cfRule type="dataBar" priority="41">
      <dataBar>
        <cfvo type="num" val="0"/>
        <cfvo type="num" val="20"/>
        <color rgb="FF00B050"/>
      </dataBar>
      <extLst>
        <ext xmlns:x14="http://schemas.microsoft.com/office/spreadsheetml/2009/9/main" uri="{B025F937-C7B1-47D3-B67F-A62EFF666E3E}">
          <x14:id>{0100D61B-A8AD-4C62-B7DC-2D314C283990}</x14:id>
        </ext>
      </extLst>
    </cfRule>
  </conditionalFormatting>
  <conditionalFormatting sqref="G33">
    <cfRule type="dataBar" priority="8">
      <dataBar>
        <cfvo type="num" val="0"/>
        <cfvo type="num" val="20"/>
        <color rgb="FF638EC6"/>
      </dataBar>
      <extLst>
        <ext xmlns:x14="http://schemas.microsoft.com/office/spreadsheetml/2009/9/main" uri="{B025F937-C7B1-47D3-B67F-A62EFF666E3E}">
          <x14:id>{A1763F0A-ED3B-4663-B424-B24CEC759616}</x14:id>
        </ext>
      </extLst>
    </cfRule>
  </conditionalFormatting>
  <conditionalFormatting sqref="H33">
    <cfRule type="dataBar" priority="7">
      <dataBar>
        <cfvo type="num" val="0"/>
        <cfvo type="num" val="20"/>
        <color rgb="FF00B050"/>
      </dataBar>
      <extLst>
        <ext xmlns:x14="http://schemas.microsoft.com/office/spreadsheetml/2009/9/main" uri="{B025F937-C7B1-47D3-B67F-A62EFF666E3E}">
          <x14:id>{60F4E582-A04C-4A12-9260-F48CFEAA3F09}</x14:id>
        </ext>
      </extLst>
    </cfRule>
  </conditionalFormatting>
  <conditionalFormatting sqref="G33">
    <cfRule type="dataBar" priority="6">
      <dataBar>
        <cfvo type="num" val="0"/>
        <cfvo type="num" val="20"/>
        <color rgb="FF638EC6"/>
      </dataBar>
      <extLst>
        <ext xmlns:x14="http://schemas.microsoft.com/office/spreadsheetml/2009/9/main" uri="{B025F937-C7B1-47D3-B67F-A62EFF666E3E}">
          <x14:id>{950ED3E8-589D-40F1-B86A-1A1DDAFC0806}</x14:id>
        </ext>
      </extLst>
    </cfRule>
  </conditionalFormatting>
  <conditionalFormatting sqref="H33">
    <cfRule type="dataBar" priority="5">
      <dataBar>
        <cfvo type="num" val="0"/>
        <cfvo type="num" val="20"/>
        <color rgb="FF00B050"/>
      </dataBar>
      <extLst>
        <ext xmlns:x14="http://schemas.microsoft.com/office/spreadsheetml/2009/9/main" uri="{B025F937-C7B1-47D3-B67F-A62EFF666E3E}">
          <x14:id>{EF1234FE-B23D-46AE-BD8B-A4E6C2864251}</x14:id>
        </ext>
      </extLst>
    </cfRule>
  </conditionalFormatting>
  <conditionalFormatting sqref="G14:G16">
    <cfRule type="dataBar" priority="36">
      <dataBar>
        <cfvo type="num" val="0"/>
        <cfvo type="num" val="20"/>
        <color rgb="FF638EC6"/>
      </dataBar>
      <extLst>
        <ext xmlns:x14="http://schemas.microsoft.com/office/spreadsheetml/2009/9/main" uri="{B025F937-C7B1-47D3-B67F-A62EFF666E3E}">
          <x14:id>{2D566F78-3C9B-48C8-B92D-2AA1E2E46226}</x14:id>
        </ext>
      </extLst>
    </cfRule>
  </conditionalFormatting>
  <conditionalFormatting sqref="H14:H16">
    <cfRule type="dataBar" priority="35">
      <dataBar>
        <cfvo type="num" val="0"/>
        <cfvo type="num" val="20"/>
        <color rgb="FF00B050"/>
      </dataBar>
      <extLst>
        <ext xmlns:x14="http://schemas.microsoft.com/office/spreadsheetml/2009/9/main" uri="{B025F937-C7B1-47D3-B67F-A62EFF666E3E}">
          <x14:id>{E36BDB7F-7DE8-41AB-AF2E-E007FF3855FF}</x14:id>
        </ext>
      </extLst>
    </cfRule>
  </conditionalFormatting>
  <conditionalFormatting sqref="G14">
    <cfRule type="dataBar" priority="34">
      <dataBar>
        <cfvo type="num" val="0"/>
        <cfvo type="num" val="20"/>
        <color rgb="FF638EC6"/>
      </dataBar>
      <extLst>
        <ext xmlns:x14="http://schemas.microsoft.com/office/spreadsheetml/2009/9/main" uri="{B025F937-C7B1-47D3-B67F-A62EFF666E3E}">
          <x14:id>{F4A2E997-7299-4454-ACB9-8EDF6A361FF5}</x14:id>
        </ext>
      </extLst>
    </cfRule>
  </conditionalFormatting>
  <conditionalFormatting sqref="H14">
    <cfRule type="dataBar" priority="33">
      <dataBar>
        <cfvo type="num" val="0"/>
        <cfvo type="num" val="20"/>
        <color rgb="FF00B050"/>
      </dataBar>
      <extLst>
        <ext xmlns:x14="http://schemas.microsoft.com/office/spreadsheetml/2009/9/main" uri="{B025F937-C7B1-47D3-B67F-A62EFF666E3E}">
          <x14:id>{86E187C1-CC93-4D7C-8CB5-F598DA9691AE}</x14:id>
        </ext>
      </extLst>
    </cfRule>
  </conditionalFormatting>
  <conditionalFormatting sqref="G19:G21 G23:G25 G29:G32 G34 G36">
    <cfRule type="dataBar" priority="32">
      <dataBar>
        <cfvo type="num" val="0"/>
        <cfvo type="num" val="20"/>
        <color rgb="FF638EC6"/>
      </dataBar>
      <extLst>
        <ext xmlns:x14="http://schemas.microsoft.com/office/spreadsheetml/2009/9/main" uri="{B025F937-C7B1-47D3-B67F-A62EFF666E3E}">
          <x14:id>{99F0B2B4-35BB-4598-A57F-125FD1CE7D56}</x14:id>
        </ext>
      </extLst>
    </cfRule>
  </conditionalFormatting>
  <conditionalFormatting sqref="H19:H21 H23:H25 H29:H32 H34 H36">
    <cfRule type="dataBar" priority="31">
      <dataBar>
        <cfvo type="num" val="0"/>
        <cfvo type="num" val="20"/>
        <color rgb="FF00B050"/>
      </dataBar>
      <extLst>
        <ext xmlns:x14="http://schemas.microsoft.com/office/spreadsheetml/2009/9/main" uri="{B025F937-C7B1-47D3-B67F-A62EFF666E3E}">
          <x14:id>{DAD8FFB3-764C-4120-A8C7-14F05358E793}</x14:id>
        </ext>
      </extLst>
    </cfRule>
  </conditionalFormatting>
  <conditionalFormatting sqref="G9:G10">
    <cfRule type="dataBar" priority="30">
      <dataBar>
        <cfvo type="num" val="0"/>
        <cfvo type="num" val="20"/>
        <color rgb="FF638EC6"/>
      </dataBar>
      <extLst>
        <ext xmlns:x14="http://schemas.microsoft.com/office/spreadsheetml/2009/9/main" uri="{B025F937-C7B1-47D3-B67F-A62EFF666E3E}">
          <x14:id>{ED266C27-27DF-4CD2-9236-85ADB37BC351}</x14:id>
        </ext>
      </extLst>
    </cfRule>
  </conditionalFormatting>
  <conditionalFormatting sqref="H9:H10">
    <cfRule type="dataBar" priority="29">
      <dataBar>
        <cfvo type="num" val="0"/>
        <cfvo type="num" val="20"/>
        <color rgb="FF00B050"/>
      </dataBar>
      <extLst>
        <ext xmlns:x14="http://schemas.microsoft.com/office/spreadsheetml/2009/9/main" uri="{B025F937-C7B1-47D3-B67F-A62EFF666E3E}">
          <x14:id>{A29A0D73-9F99-41B1-B62A-01CC219A4A93}</x14:id>
        </ext>
      </extLst>
    </cfRule>
  </conditionalFormatting>
  <conditionalFormatting sqref="G9:G10">
    <cfRule type="dataBar" priority="28">
      <dataBar>
        <cfvo type="num" val="0"/>
        <cfvo type="num" val="20"/>
        <color rgb="FF638EC6"/>
      </dataBar>
      <extLst>
        <ext xmlns:x14="http://schemas.microsoft.com/office/spreadsheetml/2009/9/main" uri="{B025F937-C7B1-47D3-B67F-A62EFF666E3E}">
          <x14:id>{262587F8-E8AE-4A81-AAF0-33CFF1C11656}</x14:id>
        </ext>
      </extLst>
    </cfRule>
  </conditionalFormatting>
  <conditionalFormatting sqref="H9:H10">
    <cfRule type="dataBar" priority="27">
      <dataBar>
        <cfvo type="num" val="0"/>
        <cfvo type="num" val="20"/>
        <color rgb="FF00B050"/>
      </dataBar>
      <extLst>
        <ext xmlns:x14="http://schemas.microsoft.com/office/spreadsheetml/2009/9/main" uri="{B025F937-C7B1-47D3-B67F-A62EFF666E3E}">
          <x14:id>{75057B20-D5C6-4760-93BD-1A17104283CC}</x14:id>
        </ext>
      </extLst>
    </cfRule>
  </conditionalFormatting>
  <conditionalFormatting sqref="G11">
    <cfRule type="dataBar" priority="26">
      <dataBar>
        <cfvo type="num" val="0"/>
        <cfvo type="num" val="20"/>
        <color rgb="FF638EC6"/>
      </dataBar>
      <extLst>
        <ext xmlns:x14="http://schemas.microsoft.com/office/spreadsheetml/2009/9/main" uri="{B025F937-C7B1-47D3-B67F-A62EFF666E3E}">
          <x14:id>{3C7FEE61-23FC-4BFF-8C1D-786E011AD59B}</x14:id>
        </ext>
      </extLst>
    </cfRule>
  </conditionalFormatting>
  <conditionalFormatting sqref="H11">
    <cfRule type="dataBar" priority="25">
      <dataBar>
        <cfvo type="num" val="0"/>
        <cfvo type="num" val="20"/>
        <color rgb="FF00B050"/>
      </dataBar>
      <extLst>
        <ext xmlns:x14="http://schemas.microsoft.com/office/spreadsheetml/2009/9/main" uri="{B025F937-C7B1-47D3-B67F-A62EFF666E3E}">
          <x14:id>{F571B17C-0C72-43FC-8375-2E0806244775}</x14:id>
        </ext>
      </extLst>
    </cfRule>
  </conditionalFormatting>
  <conditionalFormatting sqref="G13">
    <cfRule type="dataBar" priority="24">
      <dataBar>
        <cfvo type="num" val="0"/>
        <cfvo type="num" val="20"/>
        <color rgb="FF638EC6"/>
      </dataBar>
      <extLst>
        <ext xmlns:x14="http://schemas.microsoft.com/office/spreadsheetml/2009/9/main" uri="{B025F937-C7B1-47D3-B67F-A62EFF666E3E}">
          <x14:id>{762D884D-A307-4D3D-A773-4B7ABC8525B9}</x14:id>
        </ext>
      </extLst>
    </cfRule>
  </conditionalFormatting>
  <conditionalFormatting sqref="H13">
    <cfRule type="dataBar" priority="23">
      <dataBar>
        <cfvo type="num" val="0"/>
        <cfvo type="num" val="20"/>
        <color rgb="FF00B050"/>
      </dataBar>
      <extLst>
        <ext xmlns:x14="http://schemas.microsoft.com/office/spreadsheetml/2009/9/main" uri="{B025F937-C7B1-47D3-B67F-A62EFF666E3E}">
          <x14:id>{7EDCA4F0-866A-4007-A011-2DFAA521FC87}</x14:id>
        </ext>
      </extLst>
    </cfRule>
  </conditionalFormatting>
  <conditionalFormatting sqref="G13">
    <cfRule type="dataBar" priority="22">
      <dataBar>
        <cfvo type="num" val="0"/>
        <cfvo type="num" val="20"/>
        <color rgb="FF638EC6"/>
      </dataBar>
      <extLst>
        <ext xmlns:x14="http://schemas.microsoft.com/office/spreadsheetml/2009/9/main" uri="{B025F937-C7B1-47D3-B67F-A62EFF666E3E}">
          <x14:id>{6F479489-6B34-4F25-A543-30E176B56E0E}</x14:id>
        </ext>
      </extLst>
    </cfRule>
  </conditionalFormatting>
  <conditionalFormatting sqref="H13">
    <cfRule type="dataBar" priority="21">
      <dataBar>
        <cfvo type="num" val="0"/>
        <cfvo type="num" val="20"/>
        <color rgb="FF00B050"/>
      </dataBar>
      <extLst>
        <ext xmlns:x14="http://schemas.microsoft.com/office/spreadsheetml/2009/9/main" uri="{B025F937-C7B1-47D3-B67F-A62EFF666E3E}">
          <x14:id>{64DED254-BD22-4468-A1F5-2BF39D4DB01A}</x14:id>
        </ext>
      </extLst>
    </cfRule>
  </conditionalFormatting>
  <conditionalFormatting sqref="G18">
    <cfRule type="dataBar" priority="20">
      <dataBar>
        <cfvo type="num" val="0"/>
        <cfvo type="num" val="20"/>
        <color rgb="FF638EC6"/>
      </dataBar>
      <extLst>
        <ext xmlns:x14="http://schemas.microsoft.com/office/spreadsheetml/2009/9/main" uri="{B025F937-C7B1-47D3-B67F-A62EFF666E3E}">
          <x14:id>{50AB02A6-C222-4306-A680-81F9BD9D340A}</x14:id>
        </ext>
      </extLst>
    </cfRule>
  </conditionalFormatting>
  <conditionalFormatting sqref="H18">
    <cfRule type="dataBar" priority="19">
      <dataBar>
        <cfvo type="num" val="0"/>
        <cfvo type="num" val="20"/>
        <color rgb="FF00B050"/>
      </dataBar>
      <extLst>
        <ext xmlns:x14="http://schemas.microsoft.com/office/spreadsheetml/2009/9/main" uri="{B025F937-C7B1-47D3-B67F-A62EFF666E3E}">
          <x14:id>{D1907918-1E38-4B45-8B5D-085E689270AC}</x14:id>
        </ext>
      </extLst>
    </cfRule>
  </conditionalFormatting>
  <conditionalFormatting sqref="G18">
    <cfRule type="dataBar" priority="18">
      <dataBar>
        <cfvo type="num" val="0"/>
        <cfvo type="num" val="20"/>
        <color rgb="FF638EC6"/>
      </dataBar>
      <extLst>
        <ext xmlns:x14="http://schemas.microsoft.com/office/spreadsheetml/2009/9/main" uri="{B025F937-C7B1-47D3-B67F-A62EFF666E3E}">
          <x14:id>{F41ECDEB-8721-4282-9D53-F95C57E723E3}</x14:id>
        </ext>
      </extLst>
    </cfRule>
  </conditionalFormatting>
  <conditionalFormatting sqref="H18">
    <cfRule type="dataBar" priority="17">
      <dataBar>
        <cfvo type="num" val="0"/>
        <cfvo type="num" val="20"/>
        <color rgb="FF00B050"/>
      </dataBar>
      <extLst>
        <ext xmlns:x14="http://schemas.microsoft.com/office/spreadsheetml/2009/9/main" uri="{B025F937-C7B1-47D3-B67F-A62EFF666E3E}">
          <x14:id>{FB46A612-18F5-4B59-9DB3-C82428C2AA4C}</x14:id>
        </ext>
      </extLst>
    </cfRule>
  </conditionalFormatting>
  <conditionalFormatting sqref="G22">
    <cfRule type="dataBar" priority="16">
      <dataBar>
        <cfvo type="num" val="0"/>
        <cfvo type="num" val="20"/>
        <color rgb="FF638EC6"/>
      </dataBar>
      <extLst>
        <ext xmlns:x14="http://schemas.microsoft.com/office/spreadsheetml/2009/9/main" uri="{B025F937-C7B1-47D3-B67F-A62EFF666E3E}">
          <x14:id>{757C2D5B-7244-4CB1-8FA6-3A171076A221}</x14:id>
        </ext>
      </extLst>
    </cfRule>
  </conditionalFormatting>
  <conditionalFormatting sqref="H22">
    <cfRule type="dataBar" priority="15">
      <dataBar>
        <cfvo type="num" val="0"/>
        <cfvo type="num" val="20"/>
        <color rgb="FF00B050"/>
      </dataBar>
      <extLst>
        <ext xmlns:x14="http://schemas.microsoft.com/office/spreadsheetml/2009/9/main" uri="{B025F937-C7B1-47D3-B67F-A62EFF666E3E}">
          <x14:id>{0F395745-FF3D-46AC-90A2-59CC9D6C969E}</x14:id>
        </ext>
      </extLst>
    </cfRule>
  </conditionalFormatting>
  <conditionalFormatting sqref="G22">
    <cfRule type="dataBar" priority="14">
      <dataBar>
        <cfvo type="num" val="0"/>
        <cfvo type="num" val="20"/>
        <color rgb="FF638EC6"/>
      </dataBar>
      <extLst>
        <ext xmlns:x14="http://schemas.microsoft.com/office/spreadsheetml/2009/9/main" uri="{B025F937-C7B1-47D3-B67F-A62EFF666E3E}">
          <x14:id>{1323410E-1A00-4D7E-9EAA-427DD89C2EB7}</x14:id>
        </ext>
      </extLst>
    </cfRule>
  </conditionalFormatting>
  <conditionalFormatting sqref="H22">
    <cfRule type="dataBar" priority="13">
      <dataBar>
        <cfvo type="num" val="0"/>
        <cfvo type="num" val="20"/>
        <color rgb="FF00B050"/>
      </dataBar>
      <extLst>
        <ext xmlns:x14="http://schemas.microsoft.com/office/spreadsheetml/2009/9/main" uri="{B025F937-C7B1-47D3-B67F-A62EFF666E3E}">
          <x14:id>{AF6FCA98-369D-41EE-819F-F1033892B43F}</x14:id>
        </ext>
      </extLst>
    </cfRule>
  </conditionalFormatting>
  <conditionalFormatting sqref="G26:G28">
    <cfRule type="dataBar" priority="10">
      <dataBar>
        <cfvo type="num" val="0"/>
        <cfvo type="num" val="20"/>
        <color rgb="FF638EC6"/>
      </dataBar>
      <extLst>
        <ext xmlns:x14="http://schemas.microsoft.com/office/spreadsheetml/2009/9/main" uri="{B025F937-C7B1-47D3-B67F-A62EFF666E3E}">
          <x14:id>{EA6DE174-45EC-4B33-848F-E67BA993C6F6}</x14:id>
        </ext>
      </extLst>
    </cfRule>
  </conditionalFormatting>
  <conditionalFormatting sqref="H26:H28">
    <cfRule type="dataBar" priority="9">
      <dataBar>
        <cfvo type="num" val="0"/>
        <cfvo type="num" val="20"/>
        <color rgb="FF00B050"/>
      </dataBar>
      <extLst>
        <ext xmlns:x14="http://schemas.microsoft.com/office/spreadsheetml/2009/9/main" uri="{B025F937-C7B1-47D3-B67F-A62EFF666E3E}">
          <x14:id>{36A71743-8C5B-4265-813B-2A168ECEAE00}</x14:id>
        </ext>
      </extLst>
    </cfRule>
  </conditionalFormatting>
  <conditionalFormatting sqref="G35">
    <cfRule type="dataBar" priority="4">
      <dataBar>
        <cfvo type="num" val="0"/>
        <cfvo type="num" val="20"/>
        <color rgb="FF638EC6"/>
      </dataBar>
      <extLst>
        <ext xmlns:x14="http://schemas.microsoft.com/office/spreadsheetml/2009/9/main" uri="{B025F937-C7B1-47D3-B67F-A62EFF666E3E}">
          <x14:id>{CF1972EB-D743-4393-B398-638AF3048226}</x14:id>
        </ext>
      </extLst>
    </cfRule>
  </conditionalFormatting>
  <conditionalFormatting sqref="H35">
    <cfRule type="dataBar" priority="3">
      <dataBar>
        <cfvo type="num" val="0"/>
        <cfvo type="num" val="20"/>
        <color rgb="FF00B050"/>
      </dataBar>
      <extLst>
        <ext xmlns:x14="http://schemas.microsoft.com/office/spreadsheetml/2009/9/main" uri="{B025F937-C7B1-47D3-B67F-A62EFF666E3E}">
          <x14:id>{CF821349-497B-44AA-B9FB-38D7B7F67DD3}</x14:id>
        </ext>
      </extLst>
    </cfRule>
  </conditionalFormatting>
  <conditionalFormatting sqref="G35">
    <cfRule type="dataBar" priority="2">
      <dataBar>
        <cfvo type="num" val="0"/>
        <cfvo type="num" val="20"/>
        <color rgb="FF638EC6"/>
      </dataBar>
      <extLst>
        <ext xmlns:x14="http://schemas.microsoft.com/office/spreadsheetml/2009/9/main" uri="{B025F937-C7B1-47D3-B67F-A62EFF666E3E}">
          <x14:id>{B6898ED0-6C3A-4F21-8FC5-DB41CDAAA32C}</x14:id>
        </ext>
      </extLst>
    </cfRule>
  </conditionalFormatting>
  <conditionalFormatting sqref="H35">
    <cfRule type="dataBar" priority="1">
      <dataBar>
        <cfvo type="num" val="0"/>
        <cfvo type="num" val="20"/>
        <color rgb="FF00B050"/>
      </dataBar>
      <extLst>
        <ext xmlns:x14="http://schemas.microsoft.com/office/spreadsheetml/2009/9/main" uri="{B025F937-C7B1-47D3-B67F-A62EFF666E3E}">
          <x14:id>{13B0E15A-CDFE-462B-BE06-B1016F5BA195}</x14:id>
        </ext>
      </extLst>
    </cfRule>
  </conditionalFormatting>
  <pageMargins left="0.7" right="0.7" top="0.75" bottom="0.75" header="0.3" footer="0.3"/>
  <pageSetup paperSize="9" scale="73"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dataBar" id="{BE0483F2-5B3B-4E2E-8686-A19BAF8E394F}">
            <x14:dataBar minLength="0" maxLength="100" gradient="0">
              <x14:cfvo type="num">
                <xm:f>0</xm:f>
              </x14:cfvo>
              <x14:cfvo type="num">
                <xm:f>20</xm:f>
              </x14:cfvo>
              <x14:negativeFillColor rgb="FFFF0000"/>
              <x14:axisColor rgb="FF000000"/>
            </x14:dataBar>
          </x14:cfRule>
          <xm:sqref>G26:G28</xm:sqref>
        </x14:conditionalFormatting>
        <x14:conditionalFormatting xmlns:xm="http://schemas.microsoft.com/office/excel/2006/main">
          <x14:cfRule type="dataBar" id="{9FEEBCA9-6099-4D88-9DA2-B13325AF9250}">
            <x14:dataBar minLength="0" maxLength="100" gradient="0">
              <x14:cfvo type="num">
                <xm:f>0</xm:f>
              </x14:cfvo>
              <x14:cfvo type="num">
                <xm:f>20</xm:f>
              </x14:cfvo>
              <x14:negativeFillColor rgb="FFFF0000"/>
              <x14:axisColor rgb="FF000000"/>
            </x14:dataBar>
          </x14:cfRule>
          <xm:sqref>H26:H28</xm:sqref>
        </x14:conditionalFormatting>
        <x14:conditionalFormatting xmlns:xm="http://schemas.microsoft.com/office/excel/2006/main">
          <x14:cfRule type="dataBar" id="{04BD9C59-1D9C-4B2C-A569-7DBE6826AB3E}">
            <x14:dataBar minLength="0" maxLength="100" gradient="0">
              <x14:cfvo type="num">
                <xm:f>0</xm:f>
              </x14:cfvo>
              <x14:cfvo type="num">
                <xm:f>20</xm:f>
              </x14:cfvo>
              <x14:negativeFillColor rgb="FFFF0000"/>
              <x14:axisColor rgb="FF000000"/>
            </x14:dataBar>
          </x14:cfRule>
          <xm:sqref>G17</xm:sqref>
        </x14:conditionalFormatting>
        <x14:conditionalFormatting xmlns:xm="http://schemas.microsoft.com/office/excel/2006/main">
          <x14:cfRule type="dataBar" id="{0100D61B-A8AD-4C62-B7DC-2D314C283990}">
            <x14:dataBar minLength="0" maxLength="100" gradient="0">
              <x14:cfvo type="num">
                <xm:f>0</xm:f>
              </x14:cfvo>
              <x14:cfvo type="num">
                <xm:f>20</xm:f>
              </x14:cfvo>
              <x14:negativeFillColor rgb="FFFF0000"/>
              <x14:axisColor rgb="FF000000"/>
            </x14:dataBar>
          </x14:cfRule>
          <xm:sqref>H17</xm:sqref>
        </x14:conditionalFormatting>
        <x14:conditionalFormatting xmlns:xm="http://schemas.microsoft.com/office/excel/2006/main">
          <x14:cfRule type="dataBar" id="{A1763F0A-ED3B-4663-B424-B24CEC759616}">
            <x14:dataBar minLength="0" maxLength="100" gradient="0">
              <x14:cfvo type="num">
                <xm:f>0</xm:f>
              </x14:cfvo>
              <x14:cfvo type="num">
                <xm:f>20</xm:f>
              </x14:cfvo>
              <x14:negativeFillColor rgb="FFFF0000"/>
              <x14:axisColor rgb="FF000000"/>
            </x14:dataBar>
          </x14:cfRule>
          <xm:sqref>G33</xm:sqref>
        </x14:conditionalFormatting>
        <x14:conditionalFormatting xmlns:xm="http://schemas.microsoft.com/office/excel/2006/main">
          <x14:cfRule type="dataBar" id="{60F4E582-A04C-4A12-9260-F48CFEAA3F09}">
            <x14:dataBar minLength="0" maxLength="100" gradient="0">
              <x14:cfvo type="num">
                <xm:f>0</xm:f>
              </x14:cfvo>
              <x14:cfvo type="num">
                <xm:f>20</xm:f>
              </x14:cfvo>
              <x14:negativeFillColor rgb="FFFF0000"/>
              <x14:axisColor rgb="FF000000"/>
            </x14:dataBar>
          </x14:cfRule>
          <xm:sqref>H33</xm:sqref>
        </x14:conditionalFormatting>
        <x14:conditionalFormatting xmlns:xm="http://schemas.microsoft.com/office/excel/2006/main">
          <x14:cfRule type="dataBar" id="{950ED3E8-589D-40F1-B86A-1A1DDAFC0806}">
            <x14:dataBar minLength="0" maxLength="100" gradient="0">
              <x14:cfvo type="num">
                <xm:f>0</xm:f>
              </x14:cfvo>
              <x14:cfvo type="num">
                <xm:f>20</xm:f>
              </x14:cfvo>
              <x14:negativeFillColor rgb="FFFF0000"/>
              <x14:axisColor rgb="FF000000"/>
            </x14:dataBar>
          </x14:cfRule>
          <xm:sqref>G33</xm:sqref>
        </x14:conditionalFormatting>
        <x14:conditionalFormatting xmlns:xm="http://schemas.microsoft.com/office/excel/2006/main">
          <x14:cfRule type="dataBar" id="{EF1234FE-B23D-46AE-BD8B-A4E6C2864251}">
            <x14:dataBar minLength="0" maxLength="100" gradient="0">
              <x14:cfvo type="num">
                <xm:f>0</xm:f>
              </x14:cfvo>
              <x14:cfvo type="num">
                <xm:f>20</xm:f>
              </x14:cfvo>
              <x14:negativeFillColor rgb="FFFF0000"/>
              <x14:axisColor rgb="FF000000"/>
            </x14:dataBar>
          </x14:cfRule>
          <xm:sqref>H33</xm:sqref>
        </x14:conditionalFormatting>
        <x14:conditionalFormatting xmlns:xm="http://schemas.microsoft.com/office/excel/2006/main">
          <x14:cfRule type="dataBar" id="{2D566F78-3C9B-48C8-B92D-2AA1E2E46226}">
            <x14:dataBar minLength="0" maxLength="100" gradient="0">
              <x14:cfvo type="num">
                <xm:f>0</xm:f>
              </x14:cfvo>
              <x14:cfvo type="num">
                <xm:f>20</xm:f>
              </x14:cfvo>
              <x14:negativeFillColor rgb="FFFF0000"/>
              <x14:axisColor rgb="FF000000"/>
            </x14:dataBar>
          </x14:cfRule>
          <xm:sqref>G14:G16</xm:sqref>
        </x14:conditionalFormatting>
        <x14:conditionalFormatting xmlns:xm="http://schemas.microsoft.com/office/excel/2006/main">
          <x14:cfRule type="dataBar" id="{E36BDB7F-7DE8-41AB-AF2E-E007FF3855FF}">
            <x14:dataBar minLength="0" maxLength="100" gradient="0">
              <x14:cfvo type="num">
                <xm:f>0</xm:f>
              </x14:cfvo>
              <x14:cfvo type="num">
                <xm:f>20</xm:f>
              </x14:cfvo>
              <x14:negativeFillColor rgb="FFFF0000"/>
              <x14:axisColor rgb="FF000000"/>
            </x14:dataBar>
          </x14:cfRule>
          <xm:sqref>H14:H16</xm:sqref>
        </x14:conditionalFormatting>
        <x14:conditionalFormatting xmlns:xm="http://schemas.microsoft.com/office/excel/2006/main">
          <x14:cfRule type="dataBar" id="{F4A2E997-7299-4454-ACB9-8EDF6A361FF5}">
            <x14:dataBar minLength="0" maxLength="100" gradient="0">
              <x14:cfvo type="num">
                <xm:f>0</xm:f>
              </x14:cfvo>
              <x14:cfvo type="num">
                <xm:f>20</xm:f>
              </x14:cfvo>
              <x14:negativeFillColor rgb="FFFF0000"/>
              <x14:axisColor rgb="FF000000"/>
            </x14:dataBar>
          </x14:cfRule>
          <xm:sqref>G14</xm:sqref>
        </x14:conditionalFormatting>
        <x14:conditionalFormatting xmlns:xm="http://schemas.microsoft.com/office/excel/2006/main">
          <x14:cfRule type="dataBar" id="{86E187C1-CC93-4D7C-8CB5-F598DA9691AE}">
            <x14:dataBar minLength="0" maxLength="100" gradient="0">
              <x14:cfvo type="num">
                <xm:f>0</xm:f>
              </x14:cfvo>
              <x14:cfvo type="num">
                <xm:f>20</xm:f>
              </x14:cfvo>
              <x14:negativeFillColor rgb="FFFF0000"/>
              <x14:axisColor rgb="FF000000"/>
            </x14:dataBar>
          </x14:cfRule>
          <xm:sqref>H14</xm:sqref>
        </x14:conditionalFormatting>
        <x14:conditionalFormatting xmlns:xm="http://schemas.microsoft.com/office/excel/2006/main">
          <x14:cfRule type="dataBar" id="{99F0B2B4-35BB-4598-A57F-125FD1CE7D56}">
            <x14:dataBar minLength="0" maxLength="100" gradient="0">
              <x14:cfvo type="num">
                <xm:f>0</xm:f>
              </x14:cfvo>
              <x14:cfvo type="num">
                <xm:f>20</xm:f>
              </x14:cfvo>
              <x14:negativeFillColor rgb="FFFF0000"/>
              <x14:axisColor rgb="FF000000"/>
            </x14:dataBar>
          </x14:cfRule>
          <xm:sqref>G19:G21 G23:G25 G29:G32 G34 G36</xm:sqref>
        </x14:conditionalFormatting>
        <x14:conditionalFormatting xmlns:xm="http://schemas.microsoft.com/office/excel/2006/main">
          <x14:cfRule type="dataBar" id="{DAD8FFB3-764C-4120-A8C7-14F05358E793}">
            <x14:dataBar minLength="0" maxLength="100" gradient="0">
              <x14:cfvo type="num">
                <xm:f>0</xm:f>
              </x14:cfvo>
              <x14:cfvo type="num">
                <xm:f>20</xm:f>
              </x14:cfvo>
              <x14:negativeFillColor rgb="FFFF0000"/>
              <x14:axisColor rgb="FF000000"/>
            </x14:dataBar>
          </x14:cfRule>
          <xm:sqref>H19:H21 H23:H25 H29:H32 H34 H36</xm:sqref>
        </x14:conditionalFormatting>
        <x14:conditionalFormatting xmlns:xm="http://schemas.microsoft.com/office/excel/2006/main">
          <x14:cfRule type="dataBar" id="{ED266C27-27DF-4CD2-9236-85ADB37BC351}">
            <x14:dataBar minLength="0" maxLength="100" gradient="0">
              <x14:cfvo type="num">
                <xm:f>0</xm:f>
              </x14:cfvo>
              <x14:cfvo type="num">
                <xm:f>20</xm:f>
              </x14:cfvo>
              <x14:negativeFillColor rgb="FFFF0000"/>
              <x14:axisColor rgb="FF000000"/>
            </x14:dataBar>
          </x14:cfRule>
          <xm:sqref>G9:G10</xm:sqref>
        </x14:conditionalFormatting>
        <x14:conditionalFormatting xmlns:xm="http://schemas.microsoft.com/office/excel/2006/main">
          <x14:cfRule type="dataBar" id="{A29A0D73-9F99-41B1-B62A-01CC219A4A93}">
            <x14:dataBar minLength="0" maxLength="100" gradient="0">
              <x14:cfvo type="num">
                <xm:f>0</xm:f>
              </x14:cfvo>
              <x14:cfvo type="num">
                <xm:f>20</xm:f>
              </x14:cfvo>
              <x14:negativeFillColor rgb="FFFF0000"/>
              <x14:axisColor rgb="FF000000"/>
            </x14:dataBar>
          </x14:cfRule>
          <xm:sqref>H9:H10</xm:sqref>
        </x14:conditionalFormatting>
        <x14:conditionalFormatting xmlns:xm="http://schemas.microsoft.com/office/excel/2006/main">
          <x14:cfRule type="dataBar" id="{262587F8-E8AE-4A81-AAF0-33CFF1C11656}">
            <x14:dataBar minLength="0" maxLength="100" gradient="0">
              <x14:cfvo type="num">
                <xm:f>0</xm:f>
              </x14:cfvo>
              <x14:cfvo type="num">
                <xm:f>20</xm:f>
              </x14:cfvo>
              <x14:negativeFillColor rgb="FFFF0000"/>
              <x14:axisColor rgb="FF000000"/>
            </x14:dataBar>
          </x14:cfRule>
          <xm:sqref>G9:G10</xm:sqref>
        </x14:conditionalFormatting>
        <x14:conditionalFormatting xmlns:xm="http://schemas.microsoft.com/office/excel/2006/main">
          <x14:cfRule type="dataBar" id="{75057B20-D5C6-4760-93BD-1A17104283CC}">
            <x14:dataBar minLength="0" maxLength="100" gradient="0">
              <x14:cfvo type="num">
                <xm:f>0</xm:f>
              </x14:cfvo>
              <x14:cfvo type="num">
                <xm:f>20</xm:f>
              </x14:cfvo>
              <x14:negativeFillColor rgb="FFFF0000"/>
              <x14:axisColor rgb="FF000000"/>
            </x14:dataBar>
          </x14:cfRule>
          <xm:sqref>H9:H10</xm:sqref>
        </x14:conditionalFormatting>
        <x14:conditionalFormatting xmlns:xm="http://schemas.microsoft.com/office/excel/2006/main">
          <x14:cfRule type="dataBar" id="{3C7FEE61-23FC-4BFF-8C1D-786E011AD59B}">
            <x14:dataBar minLength="0" maxLength="100" gradient="0">
              <x14:cfvo type="num">
                <xm:f>0</xm:f>
              </x14:cfvo>
              <x14:cfvo type="num">
                <xm:f>20</xm:f>
              </x14:cfvo>
              <x14:negativeFillColor rgb="FFFF0000"/>
              <x14:axisColor rgb="FF000000"/>
            </x14:dataBar>
          </x14:cfRule>
          <xm:sqref>G11</xm:sqref>
        </x14:conditionalFormatting>
        <x14:conditionalFormatting xmlns:xm="http://schemas.microsoft.com/office/excel/2006/main">
          <x14:cfRule type="dataBar" id="{F571B17C-0C72-43FC-8375-2E0806244775}">
            <x14:dataBar minLength="0" maxLength="100" gradient="0">
              <x14:cfvo type="num">
                <xm:f>0</xm:f>
              </x14:cfvo>
              <x14:cfvo type="num">
                <xm:f>20</xm:f>
              </x14:cfvo>
              <x14:negativeFillColor rgb="FFFF0000"/>
              <x14:axisColor rgb="FF000000"/>
            </x14:dataBar>
          </x14:cfRule>
          <xm:sqref>H11</xm:sqref>
        </x14:conditionalFormatting>
        <x14:conditionalFormatting xmlns:xm="http://schemas.microsoft.com/office/excel/2006/main">
          <x14:cfRule type="dataBar" id="{762D884D-A307-4D3D-A773-4B7ABC8525B9}">
            <x14:dataBar minLength="0" maxLength="100" gradient="0">
              <x14:cfvo type="num">
                <xm:f>0</xm:f>
              </x14:cfvo>
              <x14:cfvo type="num">
                <xm:f>20</xm:f>
              </x14:cfvo>
              <x14:negativeFillColor rgb="FFFF0000"/>
              <x14:axisColor rgb="FF000000"/>
            </x14:dataBar>
          </x14:cfRule>
          <xm:sqref>G13</xm:sqref>
        </x14:conditionalFormatting>
        <x14:conditionalFormatting xmlns:xm="http://schemas.microsoft.com/office/excel/2006/main">
          <x14:cfRule type="dataBar" id="{7EDCA4F0-866A-4007-A011-2DFAA521FC87}">
            <x14:dataBar minLength="0" maxLength="100" gradient="0">
              <x14:cfvo type="num">
                <xm:f>0</xm:f>
              </x14:cfvo>
              <x14:cfvo type="num">
                <xm:f>20</xm:f>
              </x14:cfvo>
              <x14:negativeFillColor rgb="FFFF0000"/>
              <x14:axisColor rgb="FF000000"/>
            </x14:dataBar>
          </x14:cfRule>
          <xm:sqref>H13</xm:sqref>
        </x14:conditionalFormatting>
        <x14:conditionalFormatting xmlns:xm="http://schemas.microsoft.com/office/excel/2006/main">
          <x14:cfRule type="dataBar" id="{6F479489-6B34-4F25-A543-30E176B56E0E}">
            <x14:dataBar minLength="0" maxLength="100" gradient="0">
              <x14:cfvo type="num">
                <xm:f>0</xm:f>
              </x14:cfvo>
              <x14:cfvo type="num">
                <xm:f>20</xm:f>
              </x14:cfvo>
              <x14:negativeFillColor rgb="FFFF0000"/>
              <x14:axisColor rgb="FF000000"/>
            </x14:dataBar>
          </x14:cfRule>
          <xm:sqref>G13</xm:sqref>
        </x14:conditionalFormatting>
        <x14:conditionalFormatting xmlns:xm="http://schemas.microsoft.com/office/excel/2006/main">
          <x14:cfRule type="dataBar" id="{64DED254-BD22-4468-A1F5-2BF39D4DB01A}">
            <x14:dataBar minLength="0" maxLength="100" gradient="0">
              <x14:cfvo type="num">
                <xm:f>0</xm:f>
              </x14:cfvo>
              <x14:cfvo type="num">
                <xm:f>20</xm:f>
              </x14:cfvo>
              <x14:negativeFillColor rgb="FFFF0000"/>
              <x14:axisColor rgb="FF000000"/>
            </x14:dataBar>
          </x14:cfRule>
          <xm:sqref>H13</xm:sqref>
        </x14:conditionalFormatting>
        <x14:conditionalFormatting xmlns:xm="http://schemas.microsoft.com/office/excel/2006/main">
          <x14:cfRule type="dataBar" id="{50AB02A6-C222-4306-A680-81F9BD9D340A}">
            <x14:dataBar minLength="0" maxLength="100" gradient="0">
              <x14:cfvo type="num">
                <xm:f>0</xm:f>
              </x14:cfvo>
              <x14:cfvo type="num">
                <xm:f>20</xm:f>
              </x14:cfvo>
              <x14:negativeFillColor rgb="FFFF0000"/>
              <x14:axisColor rgb="FF000000"/>
            </x14:dataBar>
          </x14:cfRule>
          <xm:sqref>G18</xm:sqref>
        </x14:conditionalFormatting>
        <x14:conditionalFormatting xmlns:xm="http://schemas.microsoft.com/office/excel/2006/main">
          <x14:cfRule type="dataBar" id="{D1907918-1E38-4B45-8B5D-085E689270AC}">
            <x14:dataBar minLength="0" maxLength="100" gradient="0">
              <x14:cfvo type="num">
                <xm:f>0</xm:f>
              </x14:cfvo>
              <x14:cfvo type="num">
                <xm:f>20</xm:f>
              </x14:cfvo>
              <x14:negativeFillColor rgb="FFFF0000"/>
              <x14:axisColor rgb="FF000000"/>
            </x14:dataBar>
          </x14:cfRule>
          <xm:sqref>H18</xm:sqref>
        </x14:conditionalFormatting>
        <x14:conditionalFormatting xmlns:xm="http://schemas.microsoft.com/office/excel/2006/main">
          <x14:cfRule type="dataBar" id="{F41ECDEB-8721-4282-9D53-F95C57E723E3}">
            <x14:dataBar minLength="0" maxLength="100" gradient="0">
              <x14:cfvo type="num">
                <xm:f>0</xm:f>
              </x14:cfvo>
              <x14:cfvo type="num">
                <xm:f>20</xm:f>
              </x14:cfvo>
              <x14:negativeFillColor rgb="FFFF0000"/>
              <x14:axisColor rgb="FF000000"/>
            </x14:dataBar>
          </x14:cfRule>
          <xm:sqref>G18</xm:sqref>
        </x14:conditionalFormatting>
        <x14:conditionalFormatting xmlns:xm="http://schemas.microsoft.com/office/excel/2006/main">
          <x14:cfRule type="dataBar" id="{FB46A612-18F5-4B59-9DB3-C82428C2AA4C}">
            <x14:dataBar minLength="0" maxLength="100" gradient="0">
              <x14:cfvo type="num">
                <xm:f>0</xm:f>
              </x14:cfvo>
              <x14:cfvo type="num">
                <xm:f>20</xm:f>
              </x14:cfvo>
              <x14:negativeFillColor rgb="FFFF0000"/>
              <x14:axisColor rgb="FF000000"/>
            </x14:dataBar>
          </x14:cfRule>
          <xm:sqref>H18</xm:sqref>
        </x14:conditionalFormatting>
        <x14:conditionalFormatting xmlns:xm="http://schemas.microsoft.com/office/excel/2006/main">
          <x14:cfRule type="dataBar" id="{757C2D5B-7244-4CB1-8FA6-3A171076A221}">
            <x14:dataBar minLength="0" maxLength="100" gradient="0">
              <x14:cfvo type="num">
                <xm:f>0</xm:f>
              </x14:cfvo>
              <x14:cfvo type="num">
                <xm:f>20</xm:f>
              </x14:cfvo>
              <x14:negativeFillColor rgb="FFFF0000"/>
              <x14:axisColor rgb="FF000000"/>
            </x14:dataBar>
          </x14:cfRule>
          <xm:sqref>G22</xm:sqref>
        </x14:conditionalFormatting>
        <x14:conditionalFormatting xmlns:xm="http://schemas.microsoft.com/office/excel/2006/main">
          <x14:cfRule type="dataBar" id="{0F395745-FF3D-46AC-90A2-59CC9D6C969E}">
            <x14:dataBar minLength="0" maxLength="100" gradient="0">
              <x14:cfvo type="num">
                <xm:f>0</xm:f>
              </x14:cfvo>
              <x14:cfvo type="num">
                <xm:f>20</xm:f>
              </x14:cfvo>
              <x14:negativeFillColor rgb="FFFF0000"/>
              <x14:axisColor rgb="FF000000"/>
            </x14:dataBar>
          </x14:cfRule>
          <xm:sqref>H22</xm:sqref>
        </x14:conditionalFormatting>
        <x14:conditionalFormatting xmlns:xm="http://schemas.microsoft.com/office/excel/2006/main">
          <x14:cfRule type="dataBar" id="{1323410E-1A00-4D7E-9EAA-427DD89C2EB7}">
            <x14:dataBar minLength="0" maxLength="100" gradient="0">
              <x14:cfvo type="num">
                <xm:f>0</xm:f>
              </x14:cfvo>
              <x14:cfvo type="num">
                <xm:f>20</xm:f>
              </x14:cfvo>
              <x14:negativeFillColor rgb="FFFF0000"/>
              <x14:axisColor rgb="FF000000"/>
            </x14:dataBar>
          </x14:cfRule>
          <xm:sqref>G22</xm:sqref>
        </x14:conditionalFormatting>
        <x14:conditionalFormatting xmlns:xm="http://schemas.microsoft.com/office/excel/2006/main">
          <x14:cfRule type="dataBar" id="{AF6FCA98-369D-41EE-819F-F1033892B43F}">
            <x14:dataBar minLength="0" maxLength="100" gradient="0">
              <x14:cfvo type="num">
                <xm:f>0</xm:f>
              </x14:cfvo>
              <x14:cfvo type="num">
                <xm:f>20</xm:f>
              </x14:cfvo>
              <x14:negativeFillColor rgb="FFFF0000"/>
              <x14:axisColor rgb="FF000000"/>
            </x14:dataBar>
          </x14:cfRule>
          <xm:sqref>H22</xm:sqref>
        </x14:conditionalFormatting>
        <x14:conditionalFormatting xmlns:xm="http://schemas.microsoft.com/office/excel/2006/main">
          <x14:cfRule type="dataBar" id="{EA6DE174-45EC-4B33-848F-E67BA993C6F6}">
            <x14:dataBar minLength="0" maxLength="100" gradient="0">
              <x14:cfvo type="num">
                <xm:f>0</xm:f>
              </x14:cfvo>
              <x14:cfvo type="num">
                <xm:f>20</xm:f>
              </x14:cfvo>
              <x14:negativeFillColor rgb="FFFF0000"/>
              <x14:axisColor rgb="FF000000"/>
            </x14:dataBar>
          </x14:cfRule>
          <xm:sqref>G26:G28</xm:sqref>
        </x14:conditionalFormatting>
        <x14:conditionalFormatting xmlns:xm="http://schemas.microsoft.com/office/excel/2006/main">
          <x14:cfRule type="dataBar" id="{36A71743-8C5B-4265-813B-2A168ECEAE00}">
            <x14:dataBar minLength="0" maxLength="100" gradient="0">
              <x14:cfvo type="num">
                <xm:f>0</xm:f>
              </x14:cfvo>
              <x14:cfvo type="num">
                <xm:f>20</xm:f>
              </x14:cfvo>
              <x14:negativeFillColor rgb="FFFF0000"/>
              <x14:axisColor rgb="FF000000"/>
            </x14:dataBar>
          </x14:cfRule>
          <xm:sqref>H26:H28</xm:sqref>
        </x14:conditionalFormatting>
        <x14:conditionalFormatting xmlns:xm="http://schemas.microsoft.com/office/excel/2006/main">
          <x14:cfRule type="dataBar" id="{CF1972EB-D743-4393-B398-638AF3048226}">
            <x14:dataBar minLength="0" maxLength="100" gradient="0">
              <x14:cfvo type="num">
                <xm:f>0</xm:f>
              </x14:cfvo>
              <x14:cfvo type="num">
                <xm:f>20</xm:f>
              </x14:cfvo>
              <x14:negativeFillColor rgb="FFFF0000"/>
              <x14:axisColor rgb="FF000000"/>
            </x14:dataBar>
          </x14:cfRule>
          <xm:sqref>G35</xm:sqref>
        </x14:conditionalFormatting>
        <x14:conditionalFormatting xmlns:xm="http://schemas.microsoft.com/office/excel/2006/main">
          <x14:cfRule type="dataBar" id="{CF821349-497B-44AA-B9FB-38D7B7F67DD3}">
            <x14:dataBar minLength="0" maxLength="100" gradient="0">
              <x14:cfvo type="num">
                <xm:f>0</xm:f>
              </x14:cfvo>
              <x14:cfvo type="num">
                <xm:f>20</xm:f>
              </x14:cfvo>
              <x14:negativeFillColor rgb="FFFF0000"/>
              <x14:axisColor rgb="FF000000"/>
            </x14:dataBar>
          </x14:cfRule>
          <xm:sqref>H35</xm:sqref>
        </x14:conditionalFormatting>
        <x14:conditionalFormatting xmlns:xm="http://schemas.microsoft.com/office/excel/2006/main">
          <x14:cfRule type="dataBar" id="{B6898ED0-6C3A-4F21-8FC5-DB41CDAAA32C}">
            <x14:dataBar minLength="0" maxLength="100" gradient="0">
              <x14:cfvo type="num">
                <xm:f>0</xm:f>
              </x14:cfvo>
              <x14:cfvo type="num">
                <xm:f>20</xm:f>
              </x14:cfvo>
              <x14:negativeFillColor rgb="FFFF0000"/>
              <x14:axisColor rgb="FF000000"/>
            </x14:dataBar>
          </x14:cfRule>
          <xm:sqref>G35</xm:sqref>
        </x14:conditionalFormatting>
        <x14:conditionalFormatting xmlns:xm="http://schemas.microsoft.com/office/excel/2006/main">
          <x14:cfRule type="dataBar" id="{13B0E15A-CDFE-462B-BE06-B1016F5BA195}">
            <x14:dataBar minLength="0" maxLength="100" gradient="0">
              <x14:cfvo type="num">
                <xm:f>0</xm:f>
              </x14:cfvo>
              <x14:cfvo type="num">
                <xm:f>20</xm:f>
              </x14:cfvo>
              <x14:negativeFillColor rgb="FFFF0000"/>
              <x14:axisColor rgb="FF000000"/>
            </x14:dataBar>
          </x14:cfRule>
          <xm:sqref>H35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Q36"/>
  <sheetViews>
    <sheetView workbookViewId="0">
      <pane xSplit="2" topLeftCell="C1" activePane="topRight" state="frozen"/>
      <selection pane="topRight" activeCell="H3" sqref="H3"/>
    </sheetView>
  </sheetViews>
  <sheetFormatPr defaultRowHeight="15" x14ac:dyDescent="0.25"/>
  <cols>
    <col min="1" max="1" width="40.7109375" style="308" bestFit="1" customWidth="1"/>
    <col min="2" max="2" width="77.85546875" style="308" bestFit="1" customWidth="1"/>
    <col min="3" max="3" width="2.7109375" style="10" customWidth="1"/>
    <col min="4" max="4" width="9.140625" style="10"/>
    <col min="5" max="5" width="24.42578125" style="10" bestFit="1" customWidth="1"/>
    <col min="6" max="6" width="9.140625" style="10"/>
    <col min="7" max="7" width="2.7109375" style="10" customWidth="1"/>
    <col min="8" max="8" width="72.5703125" style="10" bestFit="1" customWidth="1"/>
    <col min="9" max="9" width="2.7109375" style="10" customWidth="1"/>
    <col min="10" max="10" width="26.5703125" style="10" bestFit="1" customWidth="1"/>
    <col min="11" max="11" width="2.7109375" style="10" customWidth="1"/>
    <col min="12" max="12" width="33.42578125" style="10" bestFit="1" customWidth="1"/>
    <col min="13" max="13" width="2.7109375" style="10" customWidth="1"/>
    <col min="14" max="14" width="20.140625" style="275" bestFit="1" customWidth="1"/>
    <col min="15" max="15" width="2.7109375" style="275" customWidth="1"/>
    <col min="16" max="16" width="13.28515625" style="275" customWidth="1"/>
    <col min="17" max="17" width="14.42578125" style="275" customWidth="1"/>
    <col min="18" max="18" width="2.7109375" style="10" customWidth="1"/>
    <col min="19" max="20" width="9.140625" style="10"/>
    <col min="21" max="21" width="3.85546875" style="10" bestFit="1" customWidth="1"/>
    <col min="22" max="22" width="48.28515625" style="10" bestFit="1" customWidth="1"/>
    <col min="23" max="23" width="55.5703125" style="10" bestFit="1" customWidth="1"/>
    <col min="24" max="25" width="2" style="10" bestFit="1" customWidth="1"/>
    <col min="26" max="16384" width="9.140625" style="10"/>
  </cols>
  <sheetData>
    <row r="1" spans="1:17" ht="15.75" thickBot="1" x14ac:dyDescent="0.3">
      <c r="M1" s="275"/>
    </row>
    <row r="2" spans="1:17" ht="15.75" thickBot="1" x14ac:dyDescent="0.3">
      <c r="A2" s="308" t="s">
        <v>416</v>
      </c>
      <c r="B2" s="308" t="s">
        <v>417</v>
      </c>
      <c r="D2" s="328" t="s">
        <v>360</v>
      </c>
      <c r="E2" s="330"/>
      <c r="F2" s="329"/>
    </row>
    <row r="3" spans="1:17" ht="15.75" thickBot="1" x14ac:dyDescent="0.3">
      <c r="A3" s="308" t="s">
        <v>389</v>
      </c>
      <c r="B3" s="308" t="s">
        <v>390</v>
      </c>
      <c r="D3" s="260"/>
      <c r="E3" s="255" t="s">
        <v>363</v>
      </c>
      <c r="F3" s="260"/>
      <c r="H3" s="255" t="s">
        <v>381</v>
      </c>
      <c r="J3" s="255" t="s">
        <v>382</v>
      </c>
      <c r="L3" s="255" t="s">
        <v>383</v>
      </c>
      <c r="N3" s="255" t="s">
        <v>385</v>
      </c>
      <c r="P3" s="328" t="s">
        <v>384</v>
      </c>
      <c r="Q3" s="329"/>
    </row>
    <row r="4" spans="1:17" x14ac:dyDescent="0.25">
      <c r="A4" s="308" t="s">
        <v>391</v>
      </c>
      <c r="B4" s="308" t="s">
        <v>392</v>
      </c>
      <c r="D4" s="267">
        <v>1</v>
      </c>
      <c r="E4" s="273" t="s">
        <v>2</v>
      </c>
      <c r="F4" s="268" t="str">
        <f>""</f>
        <v/>
      </c>
      <c r="H4" s="253" t="s">
        <v>357</v>
      </c>
      <c r="J4" s="253" t="s">
        <v>357</v>
      </c>
      <c r="L4" s="253" t="s">
        <v>357</v>
      </c>
      <c r="N4" s="278" t="s">
        <v>9</v>
      </c>
      <c r="P4" s="265">
        <v>1</v>
      </c>
      <c r="Q4" s="266" t="str">
        <f>N4</f>
        <v>x 1</v>
      </c>
    </row>
    <row r="5" spans="1:17" x14ac:dyDescent="0.25">
      <c r="A5" s="308" t="s">
        <v>393</v>
      </c>
      <c r="B5" s="308" t="s">
        <v>394</v>
      </c>
      <c r="D5" s="267">
        <v>2</v>
      </c>
      <c r="E5" s="273" t="s">
        <v>41</v>
      </c>
      <c r="F5" s="268">
        <v>0</v>
      </c>
      <c r="H5" s="271" t="s">
        <v>42</v>
      </c>
      <c r="J5" s="271" t="s">
        <v>131</v>
      </c>
      <c r="L5" s="271" t="s">
        <v>135</v>
      </c>
      <c r="N5" s="273" t="s">
        <v>10</v>
      </c>
      <c r="P5" s="267">
        <v>2</v>
      </c>
      <c r="Q5" s="268" t="str">
        <f>N5</f>
        <v>x 2</v>
      </c>
    </row>
    <row r="6" spans="1:17" x14ac:dyDescent="0.25">
      <c r="A6" s="308" t="s">
        <v>395</v>
      </c>
      <c r="B6" s="308" t="s">
        <v>396</v>
      </c>
      <c r="D6" s="267">
        <v>3</v>
      </c>
      <c r="E6" s="273" t="s">
        <v>48</v>
      </c>
      <c r="F6" s="268">
        <v>1</v>
      </c>
      <c r="H6" s="271" t="s">
        <v>43</v>
      </c>
      <c r="J6" s="271" t="s">
        <v>132</v>
      </c>
      <c r="L6" s="271" t="s">
        <v>136</v>
      </c>
      <c r="N6" s="273" t="s">
        <v>11</v>
      </c>
      <c r="P6" s="267">
        <v>3</v>
      </c>
      <c r="Q6" s="268" t="str">
        <f>N6</f>
        <v>x 3</v>
      </c>
    </row>
    <row r="7" spans="1:17" x14ac:dyDescent="0.25">
      <c r="A7" s="308" t="s">
        <v>397</v>
      </c>
      <c r="B7" s="308" t="s">
        <v>398</v>
      </c>
      <c r="D7" s="267">
        <v>4</v>
      </c>
      <c r="E7" s="273" t="s">
        <v>213</v>
      </c>
      <c r="F7" s="268">
        <v>2</v>
      </c>
      <c r="H7" s="271" t="s">
        <v>44</v>
      </c>
      <c r="J7" s="271" t="s">
        <v>133</v>
      </c>
      <c r="L7" s="271" t="s">
        <v>137</v>
      </c>
      <c r="N7" s="273" t="s">
        <v>78</v>
      </c>
      <c r="P7" s="267">
        <v>4</v>
      </c>
      <c r="Q7" s="268" t="str">
        <f>N7</f>
        <v>x 4</v>
      </c>
    </row>
    <row r="8" spans="1:17" ht="15.75" thickBot="1" x14ac:dyDescent="0.3">
      <c r="A8" s="308" t="s">
        <v>399</v>
      </c>
      <c r="B8" s="308" t="s">
        <v>400</v>
      </c>
      <c r="D8" s="267">
        <v>5</v>
      </c>
      <c r="E8" s="273" t="s">
        <v>49</v>
      </c>
      <c r="F8" s="268">
        <v>3</v>
      </c>
      <c r="H8" s="271" t="s">
        <v>45</v>
      </c>
      <c r="J8" s="272" t="s">
        <v>134</v>
      </c>
      <c r="L8" s="271" t="s">
        <v>138</v>
      </c>
      <c r="N8" s="274" t="s">
        <v>79</v>
      </c>
      <c r="P8" s="269">
        <v>5</v>
      </c>
      <c r="Q8" s="270" t="str">
        <f>N8</f>
        <v>x 5</v>
      </c>
    </row>
    <row r="9" spans="1:17" ht="15.75" thickBot="1" x14ac:dyDescent="0.3">
      <c r="A9" s="308" t="s">
        <v>420</v>
      </c>
      <c r="B9" s="308" t="s">
        <v>401</v>
      </c>
      <c r="D9" s="267">
        <v>6</v>
      </c>
      <c r="E9" s="273" t="s">
        <v>50</v>
      </c>
      <c r="F9" s="268">
        <v>4</v>
      </c>
      <c r="H9" s="271" t="s">
        <v>46</v>
      </c>
      <c r="L9" s="272" t="s">
        <v>139</v>
      </c>
    </row>
    <row r="10" spans="1:17" x14ac:dyDescent="0.25">
      <c r="A10" s="308" t="s">
        <v>407</v>
      </c>
      <c r="B10" s="308" t="s">
        <v>419</v>
      </c>
      <c r="D10" s="267">
        <v>7</v>
      </c>
      <c r="E10" s="273" t="s">
        <v>1</v>
      </c>
      <c r="F10" s="268">
        <v>0</v>
      </c>
      <c r="H10" s="271" t="s">
        <v>47</v>
      </c>
    </row>
    <row r="11" spans="1:17" ht="15.75" thickBot="1" x14ac:dyDescent="0.3">
      <c r="A11" s="308" t="s">
        <v>360</v>
      </c>
      <c r="B11" s="308" t="s">
        <v>423</v>
      </c>
      <c r="D11" s="269">
        <v>8</v>
      </c>
      <c r="E11" s="274" t="s">
        <v>35</v>
      </c>
      <c r="F11" s="270" t="str">
        <f>""</f>
        <v/>
      </c>
      <c r="H11" s="271" t="s">
        <v>15</v>
      </c>
    </row>
    <row r="12" spans="1:17" x14ac:dyDescent="0.25">
      <c r="A12" s="308" t="s">
        <v>361</v>
      </c>
      <c r="B12" s="308" t="s">
        <v>362</v>
      </c>
      <c r="H12" s="271" t="s">
        <v>16</v>
      </c>
    </row>
    <row r="13" spans="1:17" x14ac:dyDescent="0.25">
      <c r="A13" s="308" t="s">
        <v>363</v>
      </c>
      <c r="B13" s="308" t="s">
        <v>424</v>
      </c>
      <c r="H13" s="271" t="s">
        <v>17</v>
      </c>
    </row>
    <row r="14" spans="1:17" x14ac:dyDescent="0.25">
      <c r="A14" s="308" t="s">
        <v>364</v>
      </c>
      <c r="B14" s="308" t="s">
        <v>418</v>
      </c>
      <c r="H14" s="271" t="s">
        <v>18</v>
      </c>
    </row>
    <row r="15" spans="1:17" x14ac:dyDescent="0.25">
      <c r="A15" s="308" t="s">
        <v>388</v>
      </c>
      <c r="B15" s="308" t="s">
        <v>402</v>
      </c>
      <c r="H15" s="271" t="s">
        <v>19</v>
      </c>
    </row>
    <row r="16" spans="1:17" x14ac:dyDescent="0.25">
      <c r="A16" s="308" t="s">
        <v>386</v>
      </c>
      <c r="B16" s="308" t="s">
        <v>403</v>
      </c>
      <c r="H16" s="271" t="s">
        <v>20</v>
      </c>
    </row>
    <row r="17" spans="1:8" x14ac:dyDescent="0.25">
      <c r="A17" s="308" t="s">
        <v>387</v>
      </c>
      <c r="B17" s="308" t="s">
        <v>404</v>
      </c>
      <c r="H17" s="271" t="s">
        <v>21</v>
      </c>
    </row>
    <row r="18" spans="1:8" x14ac:dyDescent="0.25">
      <c r="A18" s="308" t="s">
        <v>365</v>
      </c>
      <c r="B18" s="308" t="s">
        <v>366</v>
      </c>
      <c r="H18" s="271" t="s">
        <v>22</v>
      </c>
    </row>
    <row r="19" spans="1:8" x14ac:dyDescent="0.25">
      <c r="A19" s="308" t="s">
        <v>367</v>
      </c>
      <c r="B19" s="308" t="s">
        <v>368</v>
      </c>
      <c r="H19" s="271" t="s">
        <v>23</v>
      </c>
    </row>
    <row r="20" spans="1:8" x14ac:dyDescent="0.25">
      <c r="A20" s="308" t="s">
        <v>369</v>
      </c>
      <c r="B20" s="308" t="s">
        <v>370</v>
      </c>
      <c r="H20" s="271" t="s">
        <v>24</v>
      </c>
    </row>
    <row r="21" spans="1:8" x14ac:dyDescent="0.25">
      <c r="A21" s="308" t="s">
        <v>371</v>
      </c>
      <c r="B21" s="308" t="s">
        <v>372</v>
      </c>
      <c r="H21" s="271" t="s">
        <v>25</v>
      </c>
    </row>
    <row r="22" spans="1:8" x14ac:dyDescent="0.25">
      <c r="A22" s="308" t="s">
        <v>373</v>
      </c>
      <c r="B22" s="308" t="s">
        <v>374</v>
      </c>
      <c r="H22" s="271" t="s">
        <v>26</v>
      </c>
    </row>
    <row r="23" spans="1:8" x14ac:dyDescent="0.25">
      <c r="A23" s="308" t="s">
        <v>375</v>
      </c>
      <c r="B23" s="308" t="s">
        <v>376</v>
      </c>
      <c r="H23" s="271" t="s">
        <v>27</v>
      </c>
    </row>
    <row r="24" spans="1:8" x14ac:dyDescent="0.25">
      <c r="A24" s="308" t="s">
        <v>377</v>
      </c>
      <c r="B24" s="308" t="s">
        <v>378</v>
      </c>
      <c r="H24" s="271" t="s">
        <v>28</v>
      </c>
    </row>
    <row r="25" spans="1:8" x14ac:dyDescent="0.25">
      <c r="A25" s="308" t="s">
        <v>379</v>
      </c>
      <c r="B25" s="308" t="s">
        <v>380</v>
      </c>
      <c r="H25" s="271" t="s">
        <v>29</v>
      </c>
    </row>
    <row r="26" spans="1:8" x14ac:dyDescent="0.25">
      <c r="A26" s="308" t="s">
        <v>408</v>
      </c>
      <c r="B26" s="308" t="s">
        <v>409</v>
      </c>
      <c r="H26" s="271" t="s">
        <v>30</v>
      </c>
    </row>
    <row r="27" spans="1:8" x14ac:dyDescent="0.25">
      <c r="A27" s="308" t="s">
        <v>410</v>
      </c>
      <c r="B27" s="308" t="s">
        <v>411</v>
      </c>
      <c r="H27" s="271" t="s">
        <v>31</v>
      </c>
    </row>
    <row r="28" spans="1:8" x14ac:dyDescent="0.25">
      <c r="A28" s="308" t="s">
        <v>412</v>
      </c>
      <c r="B28" s="308" t="s">
        <v>413</v>
      </c>
      <c r="H28" s="271" t="s">
        <v>32</v>
      </c>
    </row>
    <row r="29" spans="1:8" x14ac:dyDescent="0.25">
      <c r="A29" s="308" t="s">
        <v>381</v>
      </c>
      <c r="B29" s="308" t="s">
        <v>425</v>
      </c>
      <c r="H29" s="271" t="s">
        <v>33</v>
      </c>
    </row>
    <row r="30" spans="1:8" ht="15.75" thickBot="1" x14ac:dyDescent="0.3">
      <c r="A30" s="308" t="s">
        <v>382</v>
      </c>
      <c r="B30" s="308" t="s">
        <v>426</v>
      </c>
      <c r="H30" s="272" t="s">
        <v>34</v>
      </c>
    </row>
    <row r="31" spans="1:8" x14ac:dyDescent="0.25">
      <c r="A31" s="308" t="s">
        <v>421</v>
      </c>
      <c r="B31" s="308" t="s">
        <v>422</v>
      </c>
    </row>
    <row r="32" spans="1:8" x14ac:dyDescent="0.25">
      <c r="A32" s="308" t="s">
        <v>405</v>
      </c>
      <c r="B32" s="308" t="s">
        <v>406</v>
      </c>
    </row>
    <row r="33" spans="1:2" x14ac:dyDescent="0.25">
      <c r="A33" s="308" t="s">
        <v>383</v>
      </c>
      <c r="B33" s="308" t="s">
        <v>427</v>
      </c>
    </row>
    <row r="34" spans="1:2" x14ac:dyDescent="0.25">
      <c r="A34" s="308" t="s">
        <v>384</v>
      </c>
      <c r="B34" s="308" t="s">
        <v>428</v>
      </c>
    </row>
    <row r="35" spans="1:2" x14ac:dyDescent="0.25">
      <c r="A35" s="308" t="s">
        <v>385</v>
      </c>
      <c r="B35" s="308" t="s">
        <v>429</v>
      </c>
    </row>
    <row r="36" spans="1:2" x14ac:dyDescent="0.25">
      <c r="A36" s="308" t="s">
        <v>414</v>
      </c>
      <c r="B36" s="308" t="s">
        <v>415</v>
      </c>
    </row>
  </sheetData>
  <sheetProtection algorithmName="SHA-512" hashValue="yI+cuaOz3GUyH/BYdn5XSrl/m94NLFqCp13hgImoholFD1I8Jy75RDl8CGIkMEtwlwvrpFeoW0OWYoRkTIhJHw==" saltValue="OX2fbTy9Invo6sCC3ICqeA==" spinCount="100000" sheet="1" objects="1" scenarios="1"/>
  <autoFilter ref="A1:B63" xr:uid="{00000000-0001-0000-0400-000000000000}"/>
  <mergeCells count="2">
    <mergeCell ref="P3:Q3"/>
    <mergeCell ref="D2:F2"/>
  </mergeCells>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AD30"/>
  <sheetViews>
    <sheetView topLeftCell="L1" workbookViewId="0">
      <selection activeCell="R2" sqref="R2:S2"/>
    </sheetView>
  </sheetViews>
  <sheetFormatPr defaultRowHeight="15" x14ac:dyDescent="0.25"/>
  <cols>
    <col min="1" max="9" width="9.140625" style="13"/>
    <col min="10" max="10" width="9.140625" style="20"/>
    <col min="11" max="16" width="9.140625" style="13"/>
    <col min="17" max="17" width="9.42578125" style="13" customWidth="1"/>
    <col min="18" max="22" width="9.140625" style="13"/>
    <col min="23" max="27" width="9.140625" style="254"/>
    <col min="28" max="28" width="10.7109375" style="254" customWidth="1"/>
    <col min="29" max="29" width="9.140625" style="254"/>
    <col min="30" max="30" width="48.28515625" bestFit="1" customWidth="1"/>
  </cols>
  <sheetData>
    <row r="1" spans="1:30" s="13" customFormat="1" ht="15.75" thickBot="1" x14ac:dyDescent="0.3">
      <c r="A1" s="334" t="s">
        <v>388</v>
      </c>
      <c r="B1" s="335"/>
      <c r="C1" s="335"/>
      <c r="D1" s="335"/>
      <c r="E1" s="335"/>
      <c r="F1" s="336"/>
      <c r="J1" s="20"/>
      <c r="Q1" s="331" t="s">
        <v>386</v>
      </c>
      <c r="R1" s="332"/>
      <c r="S1" s="333"/>
      <c r="W1" s="254"/>
      <c r="X1" s="254"/>
      <c r="Y1" s="254"/>
      <c r="Z1" s="254"/>
      <c r="AA1" s="254"/>
      <c r="AB1" s="328" t="s">
        <v>387</v>
      </c>
      <c r="AC1" s="330"/>
      <c r="AD1" s="329"/>
    </row>
    <row r="2" spans="1:30" ht="15.75" thickBot="1" x14ac:dyDescent="0.3">
      <c r="A2" s="281" t="s">
        <v>14</v>
      </c>
      <c r="B2" s="282"/>
      <c r="C2" s="282"/>
      <c r="D2" s="282"/>
      <c r="E2" s="282"/>
      <c r="F2" s="283"/>
      <c r="L2" s="279" t="str">
        <f>IF(SUMIF(N:N,H2,U:U)=0,"",SUMIF(N:N,H2,U:U)/(MAX(T:T)*COUNTIF(N:N,H2)))</f>
        <v/>
      </c>
      <c r="M2" s="279" t="str">
        <f>IF(ISERROR(L2),"",L2)</f>
        <v/>
      </c>
      <c r="N2" s="275" t="s">
        <v>96</v>
      </c>
      <c r="O2" s="275">
        <v>1</v>
      </c>
      <c r="P2" s="275">
        <v>1</v>
      </c>
      <c r="Q2" s="265" t="str">
        <f>N2&amp;"."&amp;O2</f>
        <v>A.1</v>
      </c>
      <c r="R2" s="276">
        <f ca="1">VLOOKUP(Q2,INDIRECT("Results_"&amp;N2&amp;"_Reference"),16,FALSE)</f>
        <v>1</v>
      </c>
      <c r="S2" s="266">
        <f ca="1">VLOOKUP(Q2,INDIRECT("Results_"&amp;N2&amp;"_Reference"),17,FALSE)</f>
        <v>0</v>
      </c>
      <c r="W2" s="257">
        <v>1</v>
      </c>
      <c r="X2" s="254">
        <v>1</v>
      </c>
      <c r="Y2" s="254" t="str">
        <f t="shared" ref="Y2:Y26" ca="1" si="0">VLOOKUP(W2,Contents_Text,3,FALSE)</f>
        <v>A</v>
      </c>
      <c r="Z2" s="254">
        <f t="shared" ref="Z2:Z26" ca="1" si="1">VLOOKUP(W2,Contents_Text,4,FALSE)</f>
        <v>0</v>
      </c>
      <c r="AB2" s="264" t="str">
        <f ca="1">IF(X2=1,Y2,Y2&amp;"."&amp;Z2)</f>
        <v>A</v>
      </c>
      <c r="AC2" s="280" t="str">
        <f t="shared" ref="AC2:AC26" ca="1" si="2">VLOOKUP(X2,Contents_Headings,2,FALSE)&amp;" "&amp;IF(Z2=0,Y2,Z2)</f>
        <v>Stage A</v>
      </c>
      <c r="AD2" s="261" t="str">
        <f t="shared" ref="AD2:AD26" ca="1" si="3">VLOOKUP(W2,Contents_Text,7,FALSE)</f>
        <v>Preparation</v>
      </c>
    </row>
    <row r="3" spans="1:30" x14ac:dyDescent="0.25">
      <c r="L3" s="279" t="str">
        <f t="shared" ref="L3:L4" si="4">IF(SUMIF(N:N,H3,U:U)=0,"",SUMIF(N:N,H3,U:U)/(MAX(T:T)*COUNTIF(N:N,H3)))</f>
        <v/>
      </c>
      <c r="M3" s="279" t="str">
        <f>IF(ISERROR(L3),"",L3)</f>
        <v/>
      </c>
      <c r="N3" s="275" t="s">
        <v>96</v>
      </c>
      <c r="O3" s="275">
        <v>2</v>
      </c>
      <c r="P3" s="275">
        <v>2</v>
      </c>
      <c r="Q3" s="267" t="str">
        <f t="shared" ref="Q3:Q12" si="5">N3&amp;"."&amp;O3</f>
        <v>A.2</v>
      </c>
      <c r="R3" s="220">
        <f t="shared" ref="R3:R23" ca="1" si="6">VLOOKUP(Q3,INDIRECT("Results_"&amp;N3&amp;"_Reference"),16,FALSE)</f>
        <v>1</v>
      </c>
      <c r="S3" s="268">
        <f t="shared" ref="S3:S23" ca="1" si="7">VLOOKUP(Q3,INDIRECT("Results_"&amp;N3&amp;"_Reference"),17,FALSE)</f>
        <v>0</v>
      </c>
      <c r="W3" s="257">
        <v>2</v>
      </c>
      <c r="X3" s="254">
        <v>2</v>
      </c>
      <c r="Y3" s="254" t="str">
        <f t="shared" ca="1" si="0"/>
        <v>A</v>
      </c>
      <c r="Z3" s="254">
        <f t="shared" ca="1" si="1"/>
        <v>1</v>
      </c>
      <c r="AB3" s="256" t="str">
        <f t="shared" ref="AB3:AB15" ca="1" si="8">IF(X3=1,Y3,Y3&amp;"."&amp;Z3)</f>
        <v>A.1</v>
      </c>
      <c r="AC3" s="257" t="str">
        <f t="shared" ca="1" si="2"/>
        <v>Step 1</v>
      </c>
      <c r="AD3" s="262" t="str">
        <f t="shared" ca="1" si="3"/>
        <v>Maintain a technical security assurance framework</v>
      </c>
    </row>
    <row r="4" spans="1:30" x14ac:dyDescent="0.25">
      <c r="L4" s="279" t="str">
        <f t="shared" si="4"/>
        <v/>
      </c>
      <c r="M4" s="279" t="str">
        <f>IF(ISERROR(L4),"",L4)</f>
        <v/>
      </c>
      <c r="N4" s="275" t="s">
        <v>96</v>
      </c>
      <c r="O4" s="275">
        <v>3</v>
      </c>
      <c r="P4" s="275">
        <v>3</v>
      </c>
      <c r="Q4" s="267" t="str">
        <f t="shared" si="5"/>
        <v>A.3</v>
      </c>
      <c r="R4" s="220">
        <f t="shared" ca="1" si="6"/>
        <v>1</v>
      </c>
      <c r="S4" s="268">
        <f t="shared" ca="1" si="7"/>
        <v>0</v>
      </c>
      <c r="W4" s="257">
        <v>12</v>
      </c>
      <c r="X4" s="254">
        <v>2</v>
      </c>
      <c r="Y4" s="254" t="str">
        <f t="shared" ca="1" si="0"/>
        <v>A</v>
      </c>
      <c r="Z4" s="254">
        <f t="shared" ca="1" si="1"/>
        <v>2</v>
      </c>
      <c r="AB4" s="256" t="str">
        <f t="shared" ca="1" si="8"/>
        <v>A.2</v>
      </c>
      <c r="AC4" s="257" t="str">
        <f t="shared" ca="1" si="2"/>
        <v>Step 2</v>
      </c>
      <c r="AD4" s="262" t="str">
        <f t="shared" ca="1" si="3"/>
        <v>Establish a penetration testing governance structure</v>
      </c>
    </row>
    <row r="5" spans="1:30" x14ac:dyDescent="0.25">
      <c r="N5" s="275" t="s">
        <v>96</v>
      </c>
      <c r="O5" s="275">
        <v>4</v>
      </c>
      <c r="P5" s="275">
        <v>4</v>
      </c>
      <c r="Q5" s="267" t="str">
        <f t="shared" si="5"/>
        <v>A.4</v>
      </c>
      <c r="R5" s="220">
        <f t="shared" ca="1" si="6"/>
        <v>1</v>
      </c>
      <c r="S5" s="268">
        <f t="shared" ca="1" si="7"/>
        <v>0</v>
      </c>
      <c r="W5" s="257">
        <v>24</v>
      </c>
      <c r="X5" s="254">
        <v>2</v>
      </c>
      <c r="Y5" s="254" t="str">
        <f t="shared" ca="1" si="0"/>
        <v>A</v>
      </c>
      <c r="Z5" s="254">
        <f t="shared" ca="1" si="1"/>
        <v>3</v>
      </c>
      <c r="AB5" s="256" t="str">
        <f t="shared" ca="1" si="8"/>
        <v>A.3</v>
      </c>
      <c r="AC5" s="257" t="str">
        <f t="shared" ca="1" si="2"/>
        <v>Step 3</v>
      </c>
      <c r="AD5" s="262" t="str">
        <f t="shared" ca="1" si="3"/>
        <v>Evaluate drivers for conducting penetration tests</v>
      </c>
    </row>
    <row r="6" spans="1:30" x14ac:dyDescent="0.25">
      <c r="N6" s="275" t="s">
        <v>96</v>
      </c>
      <c r="O6" s="275">
        <v>5</v>
      </c>
      <c r="P6" s="275">
        <v>5</v>
      </c>
      <c r="Q6" s="267" t="str">
        <f t="shared" si="5"/>
        <v>A.5</v>
      </c>
      <c r="R6" s="220">
        <f t="shared" ca="1" si="6"/>
        <v>1</v>
      </c>
      <c r="S6" s="268">
        <f t="shared" ca="1" si="7"/>
        <v>0</v>
      </c>
      <c r="W6" s="257">
        <v>32</v>
      </c>
      <c r="X6" s="254">
        <v>2</v>
      </c>
      <c r="Y6" s="254" t="str">
        <f t="shared" ca="1" si="0"/>
        <v>A</v>
      </c>
      <c r="Z6" s="254">
        <f t="shared" ca="1" si="1"/>
        <v>4</v>
      </c>
      <c r="AB6" s="256" t="str">
        <f t="shared" ca="1" si="8"/>
        <v>A.4</v>
      </c>
      <c r="AC6" s="257" t="str">
        <f t="shared" ca="1" si="2"/>
        <v>Step 4</v>
      </c>
      <c r="AD6" s="262" t="str">
        <f t="shared" ca="1" si="3"/>
        <v>Identify target environments</v>
      </c>
    </row>
    <row r="7" spans="1:30" x14ac:dyDescent="0.25">
      <c r="N7" s="275" t="s">
        <v>96</v>
      </c>
      <c r="O7" s="275">
        <v>6</v>
      </c>
      <c r="P7" s="275">
        <v>6</v>
      </c>
      <c r="Q7" s="267" t="str">
        <f t="shared" si="5"/>
        <v>A.6</v>
      </c>
      <c r="R7" s="220">
        <f t="shared" ca="1" si="6"/>
        <v>1</v>
      </c>
      <c r="S7" s="268">
        <f t="shared" ca="1" si="7"/>
        <v>0</v>
      </c>
      <c r="W7" s="257">
        <v>42</v>
      </c>
      <c r="X7" s="254">
        <v>2</v>
      </c>
      <c r="Y7" s="254" t="str">
        <f t="shared" ca="1" si="0"/>
        <v>A</v>
      </c>
      <c r="Z7" s="254">
        <f t="shared" ca="1" si="1"/>
        <v>5</v>
      </c>
      <c r="AB7" s="256" t="str">
        <f t="shared" ca="1" si="8"/>
        <v>A.5</v>
      </c>
      <c r="AC7" s="257" t="str">
        <f t="shared" ca="1" si="2"/>
        <v>Step 5</v>
      </c>
      <c r="AD7" s="262" t="str">
        <f t="shared" ca="1" si="3"/>
        <v>Define the purpose of the penetration tests</v>
      </c>
    </row>
    <row r="8" spans="1:30" x14ac:dyDescent="0.25">
      <c r="N8" s="275" t="s">
        <v>96</v>
      </c>
      <c r="O8" s="275">
        <v>7</v>
      </c>
      <c r="P8" s="275">
        <v>7</v>
      </c>
      <c r="Q8" s="267" t="str">
        <f t="shared" si="5"/>
        <v>A.7</v>
      </c>
      <c r="R8" s="220">
        <f t="shared" ca="1" si="6"/>
        <v>1</v>
      </c>
      <c r="S8" s="268">
        <f t="shared" ca="1" si="7"/>
        <v>0</v>
      </c>
      <c r="W8" s="257">
        <v>55</v>
      </c>
      <c r="X8" s="254">
        <v>2</v>
      </c>
      <c r="Y8" s="254" t="str">
        <f t="shared" ca="1" si="0"/>
        <v>A</v>
      </c>
      <c r="Z8" s="254">
        <f t="shared" ca="1" si="1"/>
        <v>6</v>
      </c>
      <c r="AB8" s="256" t="str">
        <f t="shared" ca="1" si="8"/>
        <v>A.6</v>
      </c>
      <c r="AC8" s="257" t="str">
        <f t="shared" ca="1" si="2"/>
        <v>Step 6</v>
      </c>
      <c r="AD8" s="262" t="str">
        <f t="shared" ca="1" si="3"/>
        <v>Produce requirements specifications</v>
      </c>
    </row>
    <row r="9" spans="1:30" x14ac:dyDescent="0.25">
      <c r="N9" s="275" t="s">
        <v>97</v>
      </c>
      <c r="O9" s="275">
        <v>1</v>
      </c>
      <c r="P9" s="275">
        <v>8</v>
      </c>
      <c r="Q9" s="267" t="str">
        <f t="shared" si="5"/>
        <v>B.1</v>
      </c>
      <c r="R9" s="220">
        <f t="shared" ca="1" si="6"/>
        <v>1</v>
      </c>
      <c r="S9" s="268">
        <f t="shared" ca="1" si="7"/>
        <v>0</v>
      </c>
      <c r="W9" s="257">
        <v>60</v>
      </c>
      <c r="X9" s="254">
        <v>2</v>
      </c>
      <c r="Y9" s="254" t="str">
        <f t="shared" ca="1" si="0"/>
        <v>A</v>
      </c>
      <c r="Z9" s="254">
        <f t="shared" ca="1" si="1"/>
        <v>7</v>
      </c>
      <c r="AB9" s="256" t="str">
        <f t="shared" ca="1" si="8"/>
        <v>A.7</v>
      </c>
      <c r="AC9" s="257" t="str">
        <f t="shared" ca="1" si="2"/>
        <v>Step 7</v>
      </c>
      <c r="AD9" s="262" t="str">
        <f t="shared" ca="1" si="3"/>
        <v>Select suitable suppliers</v>
      </c>
    </row>
    <row r="10" spans="1:30" x14ac:dyDescent="0.25">
      <c r="N10" s="275" t="s">
        <v>97</v>
      </c>
      <c r="O10" s="275">
        <v>2</v>
      </c>
      <c r="P10" s="275">
        <v>9</v>
      </c>
      <c r="Q10" s="267" t="str">
        <f t="shared" si="5"/>
        <v>B.2</v>
      </c>
      <c r="R10" s="220">
        <f t="shared" ca="1" si="6"/>
        <v>1</v>
      </c>
      <c r="S10" s="268">
        <f t="shared" ca="1" si="7"/>
        <v>0</v>
      </c>
      <c r="W10" s="257">
        <v>71</v>
      </c>
      <c r="X10" s="254">
        <v>1</v>
      </c>
      <c r="Y10" s="254" t="str">
        <f t="shared" ca="1" si="0"/>
        <v>B</v>
      </c>
      <c r="Z10" s="254">
        <f t="shared" ca="1" si="1"/>
        <v>0</v>
      </c>
      <c r="AB10" s="256" t="str">
        <f t="shared" ca="1" si="8"/>
        <v>B</v>
      </c>
      <c r="AC10" s="257" t="str">
        <f t="shared" ca="1" si="2"/>
        <v>Stage B</v>
      </c>
      <c r="AD10" s="262" t="str">
        <f t="shared" ca="1" si="3"/>
        <v>Testing</v>
      </c>
    </row>
    <row r="11" spans="1:30" x14ac:dyDescent="0.25">
      <c r="N11" s="275" t="s">
        <v>97</v>
      </c>
      <c r="O11" s="275">
        <v>3</v>
      </c>
      <c r="P11" s="275">
        <v>10</v>
      </c>
      <c r="Q11" s="267" t="str">
        <f t="shared" si="5"/>
        <v>B.3</v>
      </c>
      <c r="R11" s="220">
        <f t="shared" ca="1" si="6"/>
        <v>1</v>
      </c>
      <c r="S11" s="268">
        <f t="shared" ca="1" si="7"/>
        <v>0</v>
      </c>
      <c r="W11" s="257">
        <v>72</v>
      </c>
      <c r="X11" s="254">
        <v>2</v>
      </c>
      <c r="Y11" s="254" t="str">
        <f t="shared" ca="1" si="0"/>
        <v>B</v>
      </c>
      <c r="Z11" s="254">
        <f t="shared" ca="1" si="1"/>
        <v>1</v>
      </c>
      <c r="AB11" s="256" t="str">
        <f t="shared" ca="1" si="8"/>
        <v>B.1</v>
      </c>
      <c r="AC11" s="257" t="str">
        <f t="shared" ca="1" si="2"/>
        <v>Step 1</v>
      </c>
      <c r="AD11" s="262" t="str">
        <f t="shared" ca="1" si="3"/>
        <v>Agree testing style and type</v>
      </c>
    </row>
    <row r="12" spans="1:30" x14ac:dyDescent="0.25">
      <c r="N12" s="275" t="s">
        <v>97</v>
      </c>
      <c r="O12" s="275">
        <v>4</v>
      </c>
      <c r="P12" s="275">
        <v>11</v>
      </c>
      <c r="Q12" s="267" t="str">
        <f t="shared" si="5"/>
        <v>B.4</v>
      </c>
      <c r="R12" s="220">
        <f t="shared" ca="1" si="6"/>
        <v>1</v>
      </c>
      <c r="S12" s="268">
        <f t="shared" ca="1" si="7"/>
        <v>0</v>
      </c>
      <c r="W12" s="257">
        <v>79</v>
      </c>
      <c r="X12" s="254">
        <v>2</v>
      </c>
      <c r="Y12" s="254" t="str">
        <f t="shared" ca="1" si="0"/>
        <v>B</v>
      </c>
      <c r="Z12" s="254">
        <f t="shared" ca="1" si="1"/>
        <v>2</v>
      </c>
      <c r="AB12" s="256" t="str">
        <f t="shared" ca="1" si="8"/>
        <v>B.2</v>
      </c>
      <c r="AC12" s="257" t="str">
        <f t="shared" ca="1" si="2"/>
        <v>Step 2</v>
      </c>
      <c r="AD12" s="262" t="str">
        <f t="shared" ca="1" si="3"/>
        <v>Identify testing constraints</v>
      </c>
    </row>
    <row r="13" spans="1:30" x14ac:dyDescent="0.25">
      <c r="N13" s="275" t="s">
        <v>97</v>
      </c>
      <c r="O13" s="275">
        <v>5</v>
      </c>
      <c r="P13" s="275">
        <v>12</v>
      </c>
      <c r="Q13" s="267" t="str">
        <f t="shared" ref="Q13:Q23" si="9">N13&amp;"."&amp;O13</f>
        <v>B.5</v>
      </c>
      <c r="R13" s="220">
        <f t="shared" ca="1" si="6"/>
        <v>1</v>
      </c>
      <c r="S13" s="268">
        <f t="shared" ca="1" si="7"/>
        <v>0</v>
      </c>
      <c r="W13" s="257">
        <v>94</v>
      </c>
      <c r="X13" s="254">
        <v>2</v>
      </c>
      <c r="Y13" s="254" t="str">
        <f t="shared" ca="1" si="0"/>
        <v>B</v>
      </c>
      <c r="Z13" s="254">
        <f t="shared" ca="1" si="1"/>
        <v>3</v>
      </c>
      <c r="AB13" s="256" t="str">
        <f t="shared" ca="1" si="8"/>
        <v>B.3</v>
      </c>
      <c r="AC13" s="257" t="str">
        <f t="shared" ca="1" si="2"/>
        <v>Step 3</v>
      </c>
      <c r="AD13" s="262" t="str">
        <f t="shared" ca="1" si="3"/>
        <v>Produce scope statements</v>
      </c>
    </row>
    <row r="14" spans="1:30" x14ac:dyDescent="0.25">
      <c r="N14" s="275" t="s">
        <v>97</v>
      </c>
      <c r="O14" s="275">
        <v>6</v>
      </c>
      <c r="P14" s="275">
        <v>13</v>
      </c>
      <c r="Q14" s="267" t="str">
        <f t="shared" si="9"/>
        <v>B.6</v>
      </c>
      <c r="R14" s="220">
        <f t="shared" ca="1" si="6"/>
        <v>1</v>
      </c>
      <c r="S14" s="268">
        <f t="shared" ca="1" si="7"/>
        <v>0</v>
      </c>
      <c r="W14" s="257">
        <v>108</v>
      </c>
      <c r="X14" s="254">
        <v>2</v>
      </c>
      <c r="Y14" s="254" t="str">
        <f t="shared" ca="1" si="0"/>
        <v>B</v>
      </c>
      <c r="Z14" s="254">
        <f t="shared" ca="1" si="1"/>
        <v>4</v>
      </c>
      <c r="AB14" s="256" t="str">
        <f t="shared" ca="1" si="8"/>
        <v>B.4</v>
      </c>
      <c r="AC14" s="257" t="str">
        <f t="shared" ca="1" si="2"/>
        <v>Step 4</v>
      </c>
      <c r="AD14" s="262" t="str">
        <f t="shared" ca="1" si="3"/>
        <v>Establish a management assurance framework</v>
      </c>
    </row>
    <row r="15" spans="1:30" x14ac:dyDescent="0.25">
      <c r="N15" s="275" t="s">
        <v>97</v>
      </c>
      <c r="O15" s="275">
        <v>7</v>
      </c>
      <c r="P15" s="275">
        <v>14</v>
      </c>
      <c r="Q15" s="267" t="str">
        <f t="shared" si="9"/>
        <v>B.7</v>
      </c>
      <c r="R15" s="220">
        <f t="shared" ca="1" si="6"/>
        <v>1</v>
      </c>
      <c r="S15" s="268">
        <f t="shared" ca="1" si="7"/>
        <v>0</v>
      </c>
      <c r="W15" s="257">
        <v>120</v>
      </c>
      <c r="X15" s="254">
        <v>2</v>
      </c>
      <c r="Y15" s="254" t="str">
        <f t="shared" ca="1" si="0"/>
        <v>B</v>
      </c>
      <c r="Z15" s="254">
        <f t="shared" ca="1" si="1"/>
        <v>5</v>
      </c>
      <c r="AB15" s="256" t="str">
        <f t="shared" ca="1" si="8"/>
        <v>B.5</v>
      </c>
      <c r="AC15" s="257" t="str">
        <f t="shared" ca="1" si="2"/>
        <v>Step 5</v>
      </c>
      <c r="AD15" s="262" t="str">
        <f t="shared" ca="1" si="3"/>
        <v>Implement management control processes</v>
      </c>
    </row>
    <row r="16" spans="1:30" x14ac:dyDescent="0.25">
      <c r="N16" s="275" t="s">
        <v>97</v>
      </c>
      <c r="O16" s="275">
        <v>8</v>
      </c>
      <c r="P16" s="275">
        <v>15</v>
      </c>
      <c r="Q16" s="267" t="str">
        <f t="shared" si="9"/>
        <v>B.8</v>
      </c>
      <c r="R16" s="220">
        <f t="shared" ca="1" si="6"/>
        <v>1</v>
      </c>
      <c r="S16" s="268">
        <f t="shared" ca="1" si="7"/>
        <v>0</v>
      </c>
      <c r="W16" s="257">
        <v>135</v>
      </c>
      <c r="X16" s="254">
        <v>2</v>
      </c>
      <c r="Y16" s="254" t="str">
        <f t="shared" ca="1" si="0"/>
        <v>B</v>
      </c>
      <c r="Z16" s="254">
        <f t="shared" ca="1" si="1"/>
        <v>6</v>
      </c>
      <c r="AB16" s="256" t="str">
        <f t="shared" ref="AB16:AB26" ca="1" si="10">IF(X16=1,Y16,Y16&amp;"."&amp;Z16)</f>
        <v>B.6</v>
      </c>
      <c r="AC16" s="257" t="str">
        <f t="shared" ca="1" si="2"/>
        <v>Step 6</v>
      </c>
      <c r="AD16" s="262" t="str">
        <f t="shared" ca="1" si="3"/>
        <v>Use an effective testing methodology</v>
      </c>
    </row>
    <row r="17" spans="14:30" x14ac:dyDescent="0.25">
      <c r="N17" s="275" t="s">
        <v>97</v>
      </c>
      <c r="O17" s="275">
        <v>9</v>
      </c>
      <c r="P17" s="275">
        <v>16</v>
      </c>
      <c r="Q17" s="267" t="str">
        <f t="shared" si="9"/>
        <v>B.9</v>
      </c>
      <c r="R17" s="220">
        <f t="shared" ca="1" si="6"/>
        <v>1</v>
      </c>
      <c r="S17" s="268">
        <f t="shared" ca="1" si="7"/>
        <v>0</v>
      </c>
      <c r="W17" s="257">
        <v>144</v>
      </c>
      <c r="X17" s="254">
        <v>2</v>
      </c>
      <c r="Y17" s="254" t="str">
        <f t="shared" ca="1" si="0"/>
        <v>B</v>
      </c>
      <c r="Z17" s="254">
        <f t="shared" ca="1" si="1"/>
        <v>7</v>
      </c>
      <c r="AB17" s="256" t="str">
        <f t="shared" ca="1" si="10"/>
        <v>B.7</v>
      </c>
      <c r="AC17" s="257" t="str">
        <f t="shared" ca="1" si="2"/>
        <v>Step 7</v>
      </c>
      <c r="AD17" s="262" t="str">
        <f t="shared" ca="1" si="3"/>
        <v>Conduct sufficient research and planning</v>
      </c>
    </row>
    <row r="18" spans="14:30" x14ac:dyDescent="0.25">
      <c r="N18" s="275" t="s">
        <v>98</v>
      </c>
      <c r="O18" s="275">
        <v>1</v>
      </c>
      <c r="P18" s="275">
        <v>17</v>
      </c>
      <c r="Q18" s="267" t="str">
        <f t="shared" si="9"/>
        <v>C.1</v>
      </c>
      <c r="R18" s="220">
        <f t="shared" ca="1" si="6"/>
        <v>1</v>
      </c>
      <c r="S18" s="268">
        <f t="shared" ca="1" si="7"/>
        <v>0</v>
      </c>
      <c r="W18" s="257">
        <v>157</v>
      </c>
      <c r="X18" s="254">
        <v>2</v>
      </c>
      <c r="Y18" s="254" t="str">
        <f t="shared" ca="1" si="0"/>
        <v>B</v>
      </c>
      <c r="Z18" s="254">
        <f t="shared" ca="1" si="1"/>
        <v>8</v>
      </c>
      <c r="AB18" s="256" t="str">
        <f t="shared" ca="1" si="10"/>
        <v>B.8</v>
      </c>
      <c r="AC18" s="257" t="str">
        <f t="shared" ca="1" si="2"/>
        <v>Step 8</v>
      </c>
      <c r="AD18" s="262" t="str">
        <f t="shared" ca="1" si="3"/>
        <v>Identify and exploit vulnerabilities</v>
      </c>
    </row>
    <row r="19" spans="14:30" x14ac:dyDescent="0.25">
      <c r="N19" s="275" t="s">
        <v>98</v>
      </c>
      <c r="O19" s="275">
        <v>2</v>
      </c>
      <c r="P19" s="275">
        <v>18</v>
      </c>
      <c r="Q19" s="267" t="str">
        <f t="shared" si="9"/>
        <v>C.2</v>
      </c>
      <c r="R19" s="220">
        <f t="shared" ca="1" si="6"/>
        <v>1</v>
      </c>
      <c r="S19" s="268">
        <f t="shared" ca="1" si="7"/>
        <v>0</v>
      </c>
      <c r="W19" s="257">
        <v>165</v>
      </c>
      <c r="X19" s="254">
        <v>2</v>
      </c>
      <c r="Y19" s="254" t="str">
        <f t="shared" ca="1" si="0"/>
        <v>B</v>
      </c>
      <c r="Z19" s="254">
        <f t="shared" ca="1" si="1"/>
        <v>9</v>
      </c>
      <c r="AB19" s="256" t="str">
        <f t="shared" ca="1" si="10"/>
        <v>B.9</v>
      </c>
      <c r="AC19" s="257" t="str">
        <f t="shared" ca="1" si="2"/>
        <v>Step 9</v>
      </c>
      <c r="AD19" s="262" t="str">
        <f t="shared" ca="1" si="3"/>
        <v>Report key findings</v>
      </c>
    </row>
    <row r="20" spans="14:30" x14ac:dyDescent="0.25">
      <c r="N20" s="275" t="s">
        <v>98</v>
      </c>
      <c r="O20" s="275">
        <v>3</v>
      </c>
      <c r="P20" s="275">
        <v>19</v>
      </c>
      <c r="Q20" s="267" t="str">
        <f t="shared" si="9"/>
        <v>C.3</v>
      </c>
      <c r="R20" s="220">
        <f t="shared" ca="1" si="6"/>
        <v>1</v>
      </c>
      <c r="S20" s="268">
        <f t="shared" ca="1" si="7"/>
        <v>0</v>
      </c>
      <c r="W20" s="257">
        <v>173</v>
      </c>
      <c r="X20" s="254">
        <v>1</v>
      </c>
      <c r="Y20" s="254" t="str">
        <f t="shared" ca="1" si="0"/>
        <v>C</v>
      </c>
      <c r="Z20" s="254">
        <f t="shared" ca="1" si="1"/>
        <v>0</v>
      </c>
      <c r="AB20" s="256" t="str">
        <f t="shared" ca="1" si="10"/>
        <v>C</v>
      </c>
      <c r="AC20" s="257" t="str">
        <f t="shared" ca="1" si="2"/>
        <v>Stage C</v>
      </c>
      <c r="AD20" s="262" t="str">
        <f t="shared" ca="1" si="3"/>
        <v>Follow up</v>
      </c>
    </row>
    <row r="21" spans="14:30" x14ac:dyDescent="0.25">
      <c r="N21" s="275" t="s">
        <v>98</v>
      </c>
      <c r="O21" s="275">
        <v>4</v>
      </c>
      <c r="P21" s="275">
        <v>20</v>
      </c>
      <c r="Q21" s="267" t="str">
        <f t="shared" si="9"/>
        <v>C.4</v>
      </c>
      <c r="R21" s="220">
        <f t="shared" ca="1" si="6"/>
        <v>1</v>
      </c>
      <c r="S21" s="268">
        <f t="shared" ca="1" si="7"/>
        <v>0</v>
      </c>
      <c r="W21" s="257">
        <v>174</v>
      </c>
      <c r="X21" s="254">
        <v>2</v>
      </c>
      <c r="Y21" s="254" t="str">
        <f t="shared" ca="1" si="0"/>
        <v>C</v>
      </c>
      <c r="Z21" s="254">
        <f t="shared" ca="1" si="1"/>
        <v>1</v>
      </c>
      <c r="AB21" s="256" t="str">
        <f t="shared" ca="1" si="10"/>
        <v>C.1</v>
      </c>
      <c r="AC21" s="257" t="str">
        <f t="shared" ca="1" si="2"/>
        <v>Step 1</v>
      </c>
      <c r="AD21" s="262" t="str">
        <f t="shared" ca="1" si="3"/>
        <v>Remediate weaknesses</v>
      </c>
    </row>
    <row r="22" spans="14:30" x14ac:dyDescent="0.25">
      <c r="N22" s="275" t="s">
        <v>98</v>
      </c>
      <c r="O22" s="275">
        <v>5</v>
      </c>
      <c r="P22" s="275">
        <v>21</v>
      </c>
      <c r="Q22" s="267" t="str">
        <f t="shared" si="9"/>
        <v>C.5</v>
      </c>
      <c r="R22" s="220">
        <f t="shared" ca="1" si="6"/>
        <v>1</v>
      </c>
      <c r="S22" s="268">
        <f t="shared" ca="1" si="7"/>
        <v>0</v>
      </c>
      <c r="W22" s="257">
        <v>178</v>
      </c>
      <c r="X22" s="254">
        <v>2</v>
      </c>
      <c r="Y22" s="254" t="str">
        <f t="shared" ca="1" si="0"/>
        <v>C</v>
      </c>
      <c r="Z22" s="254">
        <f t="shared" ca="1" si="1"/>
        <v>2</v>
      </c>
      <c r="AB22" s="256" t="str">
        <f t="shared" ca="1" si="10"/>
        <v>C.2</v>
      </c>
      <c r="AC22" s="257" t="str">
        <f t="shared" ca="1" si="2"/>
        <v>Step 2</v>
      </c>
      <c r="AD22" s="262" t="str">
        <f t="shared" ca="1" si="3"/>
        <v>Address root causes of weaknesses</v>
      </c>
    </row>
    <row r="23" spans="14:30" ht="15.75" thickBot="1" x14ac:dyDescent="0.3">
      <c r="N23" s="275" t="s">
        <v>98</v>
      </c>
      <c r="O23" s="275">
        <v>6</v>
      </c>
      <c r="P23" s="275">
        <v>22</v>
      </c>
      <c r="Q23" s="269" t="str">
        <f t="shared" si="9"/>
        <v>C.6</v>
      </c>
      <c r="R23" s="277">
        <f t="shared" ca="1" si="6"/>
        <v>1</v>
      </c>
      <c r="S23" s="270">
        <f t="shared" ca="1" si="7"/>
        <v>0</v>
      </c>
      <c r="W23" s="257">
        <v>182</v>
      </c>
      <c r="X23" s="254">
        <v>2</v>
      </c>
      <c r="Y23" s="254" t="str">
        <f t="shared" ca="1" si="0"/>
        <v>C</v>
      </c>
      <c r="Z23" s="254">
        <f t="shared" ca="1" si="1"/>
        <v>3</v>
      </c>
      <c r="AB23" s="256" t="str">
        <f t="shared" ca="1" si="10"/>
        <v>C.3</v>
      </c>
      <c r="AC23" s="257" t="str">
        <f t="shared" ca="1" si="2"/>
        <v>Step 3</v>
      </c>
      <c r="AD23" s="262" t="str">
        <f t="shared" ca="1" si="3"/>
        <v>Initiate improvement programme</v>
      </c>
    </row>
    <row r="24" spans="14:30" x14ac:dyDescent="0.25">
      <c r="N24"/>
      <c r="O24"/>
      <c r="P24"/>
      <c r="Q24"/>
      <c r="R24"/>
      <c r="S24"/>
      <c r="T24"/>
      <c r="W24" s="257">
        <v>187</v>
      </c>
      <c r="X24" s="254">
        <v>2</v>
      </c>
      <c r="Y24" s="254" t="str">
        <f t="shared" ca="1" si="0"/>
        <v>C</v>
      </c>
      <c r="Z24" s="254">
        <f t="shared" ca="1" si="1"/>
        <v>4</v>
      </c>
      <c r="AB24" s="256" t="str">
        <f t="shared" ca="1" si="10"/>
        <v>C.4</v>
      </c>
      <c r="AC24" s="257" t="str">
        <f t="shared" ca="1" si="2"/>
        <v>Step 4</v>
      </c>
      <c r="AD24" s="262" t="str">
        <f t="shared" ca="1" si="3"/>
        <v>Evaluate penetration testing effectiveness</v>
      </c>
    </row>
    <row r="25" spans="14:30" x14ac:dyDescent="0.25">
      <c r="N25"/>
      <c r="O25"/>
      <c r="P25"/>
      <c r="Q25"/>
      <c r="R25"/>
      <c r="S25"/>
      <c r="T25"/>
      <c r="W25" s="257">
        <v>191</v>
      </c>
      <c r="X25" s="254">
        <v>2</v>
      </c>
      <c r="Y25" s="254" t="str">
        <f t="shared" ca="1" si="0"/>
        <v>C</v>
      </c>
      <c r="Z25" s="254">
        <f t="shared" ca="1" si="1"/>
        <v>5</v>
      </c>
      <c r="AB25" s="256" t="str">
        <f t="shared" ca="1" si="10"/>
        <v>C.5</v>
      </c>
      <c r="AC25" s="257" t="str">
        <f t="shared" ca="1" si="2"/>
        <v>Step 5</v>
      </c>
      <c r="AD25" s="262" t="str">
        <f t="shared" ca="1" si="3"/>
        <v>Build on lessons learned</v>
      </c>
    </row>
    <row r="26" spans="14:30" ht="15.75" thickBot="1" x14ac:dyDescent="0.3">
      <c r="N26"/>
      <c r="O26"/>
      <c r="P26"/>
      <c r="Q26"/>
      <c r="R26"/>
      <c r="S26"/>
      <c r="T26"/>
      <c r="W26" s="257">
        <v>196</v>
      </c>
      <c r="X26" s="254">
        <v>2</v>
      </c>
      <c r="Y26" s="254" t="str">
        <f t="shared" ca="1" si="0"/>
        <v>C</v>
      </c>
      <c r="Z26" s="254">
        <f t="shared" ca="1" si="1"/>
        <v>6</v>
      </c>
      <c r="AB26" s="258" t="str">
        <f t="shared" ca="1" si="10"/>
        <v>C.6</v>
      </c>
      <c r="AC26" s="259" t="str">
        <f t="shared" ca="1" si="2"/>
        <v>Step 6</v>
      </c>
      <c r="AD26" s="263" t="str">
        <f t="shared" ca="1" si="3"/>
        <v>Create and monitor action plans</v>
      </c>
    </row>
    <row r="27" spans="14:30" x14ac:dyDescent="0.25">
      <c r="N27"/>
      <c r="O27"/>
      <c r="P27"/>
      <c r="Q27"/>
      <c r="R27"/>
      <c r="S27"/>
      <c r="T27"/>
    </row>
    <row r="28" spans="14:30" x14ac:dyDescent="0.25">
      <c r="N28"/>
      <c r="O28"/>
      <c r="P28"/>
      <c r="Q28"/>
      <c r="R28"/>
      <c r="S28"/>
      <c r="T28"/>
    </row>
    <row r="29" spans="14:30" x14ac:dyDescent="0.25">
      <c r="N29"/>
      <c r="O29"/>
      <c r="P29"/>
      <c r="Q29"/>
      <c r="R29"/>
      <c r="S29"/>
      <c r="T29"/>
    </row>
    <row r="30" spans="14:30" x14ac:dyDescent="0.25">
      <c r="N30"/>
      <c r="O30"/>
      <c r="P30"/>
      <c r="Q30"/>
      <c r="R30"/>
      <c r="S30"/>
      <c r="T30"/>
    </row>
  </sheetData>
  <sheetProtection algorithmName="SHA-512" hashValue="7/lA1L8j78BbXJMdRkdskYH0rxjbXDo8EWEDgTwl6AqNFJ5sC5+GnwYnkEA9AR/DYmW/BmWdslBZyjWMjnNiLA==" saltValue="Wf5wDRn2FUS0ChNioMLtAA==" spinCount="100000" sheet="1" objects="1" scenarios="1"/>
  <mergeCells count="3">
    <mergeCell ref="Q1:S1"/>
    <mergeCell ref="AB1:AD1"/>
    <mergeCell ref="A1:F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dimension ref="A1:X200"/>
  <sheetViews>
    <sheetView zoomScaleNormal="100" workbookViewId="0">
      <pane ySplit="1" topLeftCell="A2" activePane="bottomLeft" state="frozen"/>
      <selection pane="bottomLeft" activeCell="S6" sqref="S6"/>
    </sheetView>
  </sheetViews>
  <sheetFormatPr defaultColWidth="9.140625" defaultRowHeight="15" x14ac:dyDescent="0.25"/>
  <cols>
    <col min="1" max="2" width="9.140625" style="13"/>
    <col min="3" max="3" width="12.42578125" style="13" customWidth="1"/>
    <col min="4" max="4" width="6.42578125" style="13" customWidth="1"/>
    <col min="5" max="5" width="5" style="13" customWidth="1"/>
    <col min="6" max="6" width="7" style="13" customWidth="1"/>
    <col min="7" max="7" width="69.5703125" style="35" customWidth="1"/>
    <col min="8" max="8" width="11.7109375" style="289" customWidth="1"/>
    <col min="9" max="9" width="9.140625" style="290"/>
    <col min="10" max="14" width="9.140625" style="275"/>
    <col min="15" max="15" width="9.140625" style="290"/>
    <col min="16" max="16" width="9.140625" style="65"/>
    <col min="17" max="17" width="5.140625" style="254" customWidth="1"/>
    <col min="18" max="18" width="9.140625" style="307"/>
    <col min="23" max="23" width="9.140625" style="13"/>
    <col min="24" max="24" width="12.140625" style="13" bestFit="1" customWidth="1"/>
    <col min="25" max="16384" width="9.140625" style="13"/>
  </cols>
  <sheetData>
    <row r="1" spans="1:24" ht="15.75" thickBot="1" x14ac:dyDescent="0.3">
      <c r="A1" s="337" t="s">
        <v>407</v>
      </c>
      <c r="B1" s="338"/>
      <c r="C1" s="338"/>
      <c r="D1" s="338"/>
      <c r="E1" s="338"/>
      <c r="F1" s="338"/>
      <c r="G1" s="338"/>
      <c r="H1" s="338"/>
      <c r="I1" s="338"/>
      <c r="J1" s="338"/>
      <c r="K1" s="338"/>
      <c r="L1" s="338"/>
      <c r="M1" s="338"/>
      <c r="N1" s="338"/>
      <c r="O1" s="339"/>
      <c r="P1" s="296"/>
      <c r="Q1" s="275"/>
      <c r="R1" s="306"/>
      <c r="S1" s="13"/>
      <c r="T1" s="13"/>
      <c r="U1" s="13"/>
      <c r="V1" s="13"/>
      <c r="W1" s="328" t="s">
        <v>420</v>
      </c>
      <c r="X1" s="329"/>
    </row>
    <row r="2" spans="1:24" ht="15.75" thickBot="1" x14ac:dyDescent="0.3">
      <c r="A2" s="298" t="s">
        <v>72</v>
      </c>
      <c r="B2" s="298" t="s">
        <v>77</v>
      </c>
      <c r="C2" s="298" t="s">
        <v>114</v>
      </c>
      <c r="D2" s="298" t="s">
        <v>68</v>
      </c>
      <c r="E2" s="298" t="s">
        <v>69</v>
      </c>
      <c r="F2" s="298" t="s">
        <v>70</v>
      </c>
      <c r="G2" s="299" t="s">
        <v>71</v>
      </c>
      <c r="H2" s="291" t="s">
        <v>8</v>
      </c>
      <c r="I2" s="292" t="s">
        <v>73</v>
      </c>
      <c r="J2" s="293" t="s">
        <v>68</v>
      </c>
      <c r="K2" s="293" t="s">
        <v>74</v>
      </c>
      <c r="L2" s="293" t="s">
        <v>75</v>
      </c>
      <c r="M2" s="293" t="s">
        <v>69</v>
      </c>
      <c r="N2" s="293" t="s">
        <v>70</v>
      </c>
      <c r="O2" s="294" t="s">
        <v>76</v>
      </c>
      <c r="P2" s="300"/>
      <c r="Q2" s="275"/>
      <c r="R2" s="306"/>
      <c r="T2" t="s">
        <v>205</v>
      </c>
      <c r="W2" s="265">
        <v>1</v>
      </c>
      <c r="X2" s="266" t="s">
        <v>114</v>
      </c>
    </row>
    <row r="3" spans="1:24" x14ac:dyDescent="0.25">
      <c r="A3" s="301">
        <v>1</v>
      </c>
      <c r="B3" s="297" t="str">
        <f>R3</f>
        <v>A</v>
      </c>
      <c r="C3" s="302" t="s">
        <v>96</v>
      </c>
      <c r="D3" s="301"/>
      <c r="E3" s="301"/>
      <c r="F3" s="301"/>
      <c r="G3" s="303" t="s">
        <v>224</v>
      </c>
      <c r="H3" s="295"/>
      <c r="I3" s="290">
        <f t="shared" ref="I3" si="0">IF(AND(LEN(C3)=1,LEN(D3)=0),1,"")</f>
        <v>1</v>
      </c>
      <c r="J3" s="220" t="str">
        <f t="shared" ref="J3" si="1">IF(AND(LEN(C3)=1,LEN(D3)=1,LEN(E3)=0,LEN(F3)=0),2,"")</f>
        <v/>
      </c>
      <c r="K3" s="220" t="str">
        <f t="shared" ref="K3" si="2">IF(AND(LEN(C3)=0,LEN(E3)=0),3,"")</f>
        <v/>
      </c>
      <c r="L3" s="220" t="str">
        <f t="shared" ref="L3" si="3">IF(AND(LEN(C3)&gt;0,LEN(D3&gt;0),LEN(E3)&gt;0,LEN(F3)=0,H3="N/A"),4,"")</f>
        <v/>
      </c>
      <c r="M3" s="220" t="str">
        <f t="shared" ref="M3" si="4">IF(AND(LEN(C3)&gt;0,LEN(D3&gt;0),LEN(E3)&gt;0,LEN(F3)=0,H3&gt;0,H3&lt;6),5,"")</f>
        <v/>
      </c>
      <c r="N3" s="220" t="str">
        <f t="shared" ref="N3" si="5">IF(AND(LEN(C3)&gt;0,LEN(D3&gt;0),LEN(E3)&gt;0,LEN(F3)&gt;0,H3&gt;0,H3&lt;6),6,"")</f>
        <v/>
      </c>
      <c r="O3" s="290">
        <f t="shared" ref="O3" si="6">SUM(I3:N3)</f>
        <v>1</v>
      </c>
      <c r="P3" s="296"/>
      <c r="Q3" s="275" t="str">
        <f t="shared" ref="Q3" si="7">IF(LEN(E3)&gt;0,TEXT(E3,"00"),"")</f>
        <v/>
      </c>
      <c r="R3" s="306" t="str">
        <f t="shared" ref="R3" si="8">IF(O3=1,C3,IF(O3=2,C3&amp;"."&amp;D3,IF(O3=3,"",IF(O3=4,C3&amp;"."&amp;D3&amp;"."&amp;Q3,IF(O3=5,C3&amp;"."&amp;D3&amp;"."&amp;Q3,IF(O3=6,C3&amp;"."&amp;D3&amp;"."&amp;Q3&amp;F3,""))))))</f>
        <v>A</v>
      </c>
      <c r="W3" s="267">
        <v>2</v>
      </c>
      <c r="X3" s="268" t="s">
        <v>68</v>
      </c>
    </row>
    <row r="4" spans="1:24" x14ac:dyDescent="0.25">
      <c r="A4" s="10">
        <v>2</v>
      </c>
      <c r="B4" s="297" t="str">
        <f t="shared" ref="B4:B67" si="9">R4</f>
        <v>A.1</v>
      </c>
      <c r="C4" s="304" t="s">
        <v>96</v>
      </c>
      <c r="D4" s="10">
        <v>1</v>
      </c>
      <c r="E4" s="10"/>
      <c r="F4" s="10"/>
      <c r="G4" s="305" t="s">
        <v>225</v>
      </c>
      <c r="I4" s="290" t="str">
        <f t="shared" ref="I4:I67" si="10">IF(AND(LEN(C4)=1,LEN(D4)=0),1,"")</f>
        <v/>
      </c>
      <c r="J4" s="220">
        <f t="shared" ref="J4:J67" si="11">IF(AND(LEN(C4)=1,LEN(D4)=1,LEN(E4)=0,LEN(F4)=0),2,"")</f>
        <v>2</v>
      </c>
      <c r="K4" s="220" t="str">
        <f t="shared" ref="K4:K67" si="12">IF(AND(LEN(C4)=0,LEN(E4)=0),3,"")</f>
        <v/>
      </c>
      <c r="L4" s="220" t="str">
        <f t="shared" ref="L4:L67" si="13">IF(AND(LEN(C4)&gt;0,LEN(D4&gt;0),LEN(E4)&gt;0,LEN(F4)=0,H4="N/A"),4,"")</f>
        <v/>
      </c>
      <c r="M4" s="220" t="str">
        <f t="shared" ref="M4:M67" si="14">IF(AND(LEN(C4)&gt;0,LEN(D4&gt;0),LEN(E4)&gt;0,LEN(F4)=0,H4&gt;0,H4&lt;6),5,"")</f>
        <v/>
      </c>
      <c r="N4" s="220" t="str">
        <f t="shared" ref="N4:N67" si="15">IF(AND(LEN(C4)&gt;0,LEN(D4&gt;0),LEN(E4)&gt;0,LEN(F4)&gt;0,H4&gt;0,H4&lt;6),6,"")</f>
        <v/>
      </c>
      <c r="O4" s="290">
        <f t="shared" ref="O4:O67" si="16">SUM(I4:N4)</f>
        <v>2</v>
      </c>
      <c r="P4" s="296"/>
      <c r="Q4" s="275" t="str">
        <f t="shared" ref="Q4:Q67" si="17">IF(LEN(E4)&gt;0,TEXT(E4,"00"),"")</f>
        <v/>
      </c>
      <c r="R4" s="306" t="str">
        <f t="shared" ref="R4:R67" si="18">IF(O4=1,C4,IF(O4=2,C4&amp;"."&amp;D4,IF(O4=3,"",IF(O4=4,C4&amp;"."&amp;D4&amp;"."&amp;Q4,IF(O4=5,C4&amp;"."&amp;D4&amp;"."&amp;Q4,IF(O4=6,C4&amp;"."&amp;D4&amp;"."&amp;Q4&amp;F4,""))))))</f>
        <v>A.1</v>
      </c>
      <c r="W4" s="267">
        <v>3</v>
      </c>
      <c r="X4" s="268" t="s">
        <v>74</v>
      </c>
    </row>
    <row r="5" spans="1:24" ht="30" x14ac:dyDescent="0.25">
      <c r="A5" s="10">
        <v>3</v>
      </c>
      <c r="B5" s="297" t="str">
        <f t="shared" si="9"/>
        <v>A.1.01</v>
      </c>
      <c r="C5" s="304" t="s">
        <v>96</v>
      </c>
      <c r="D5" s="10">
        <v>1</v>
      </c>
      <c r="E5" s="10">
        <v>1</v>
      </c>
      <c r="F5" s="10"/>
      <c r="G5" s="305" t="s">
        <v>226</v>
      </c>
      <c r="H5" s="289">
        <v>2</v>
      </c>
      <c r="I5" s="290" t="str">
        <f t="shared" si="10"/>
        <v/>
      </c>
      <c r="J5" s="220" t="str">
        <f t="shared" si="11"/>
        <v/>
      </c>
      <c r="K5" s="220" t="str">
        <f t="shared" si="12"/>
        <v/>
      </c>
      <c r="L5" s="220" t="str">
        <f t="shared" si="13"/>
        <v/>
      </c>
      <c r="M5" s="220">
        <f t="shared" si="14"/>
        <v>5</v>
      </c>
      <c r="N5" s="220" t="str">
        <f t="shared" si="15"/>
        <v/>
      </c>
      <c r="O5" s="290">
        <f t="shared" si="16"/>
        <v>5</v>
      </c>
      <c r="P5" s="296"/>
      <c r="Q5" s="275" t="str">
        <f t="shared" si="17"/>
        <v>01</v>
      </c>
      <c r="R5" s="306" t="str">
        <f t="shared" si="18"/>
        <v>A.1.01</v>
      </c>
      <c r="W5" s="267">
        <v>4</v>
      </c>
      <c r="X5" s="268" t="s">
        <v>75</v>
      </c>
    </row>
    <row r="6" spans="1:24" ht="75" x14ac:dyDescent="0.25">
      <c r="A6" s="10">
        <v>4</v>
      </c>
      <c r="B6" s="297" t="str">
        <f t="shared" si="9"/>
        <v/>
      </c>
      <c r="C6" s="304"/>
      <c r="D6" s="10"/>
      <c r="E6" s="10"/>
      <c r="F6" s="10" t="s">
        <v>143</v>
      </c>
      <c r="G6" s="305" t="s">
        <v>227</v>
      </c>
      <c r="I6" s="290" t="str">
        <f t="shared" si="10"/>
        <v/>
      </c>
      <c r="J6" s="220" t="str">
        <f t="shared" si="11"/>
        <v/>
      </c>
      <c r="K6" s="220">
        <f t="shared" si="12"/>
        <v>3</v>
      </c>
      <c r="L6" s="220" t="str">
        <f t="shared" si="13"/>
        <v/>
      </c>
      <c r="M6" s="220" t="str">
        <f t="shared" si="14"/>
        <v/>
      </c>
      <c r="N6" s="220" t="str">
        <f t="shared" si="15"/>
        <v/>
      </c>
      <c r="O6" s="290">
        <f t="shared" si="16"/>
        <v>3</v>
      </c>
      <c r="P6" s="296"/>
      <c r="Q6" s="275" t="str">
        <f t="shared" si="17"/>
        <v/>
      </c>
      <c r="R6" s="306" t="str">
        <f t="shared" si="18"/>
        <v/>
      </c>
      <c r="W6" s="267">
        <v>5</v>
      </c>
      <c r="X6" s="268" t="s">
        <v>69</v>
      </c>
    </row>
    <row r="7" spans="1:24" ht="30.75" thickBot="1" x14ac:dyDescent="0.3">
      <c r="A7" s="10">
        <v>5</v>
      </c>
      <c r="B7" s="297" t="str">
        <f t="shared" si="9"/>
        <v>A.1.02</v>
      </c>
      <c r="C7" s="304" t="s">
        <v>96</v>
      </c>
      <c r="D7" s="10">
        <v>1</v>
      </c>
      <c r="E7" s="10">
        <v>2</v>
      </c>
      <c r="F7" s="10"/>
      <c r="G7" s="305" t="s">
        <v>228</v>
      </c>
      <c r="H7" s="289">
        <v>4</v>
      </c>
      <c r="I7" s="290" t="str">
        <f t="shared" si="10"/>
        <v/>
      </c>
      <c r="J7" s="220" t="str">
        <f t="shared" si="11"/>
        <v/>
      </c>
      <c r="K7" s="220" t="str">
        <f t="shared" si="12"/>
        <v/>
      </c>
      <c r="L7" s="220" t="str">
        <f t="shared" si="13"/>
        <v/>
      </c>
      <c r="M7" s="220">
        <f t="shared" si="14"/>
        <v>5</v>
      </c>
      <c r="N7" s="220" t="str">
        <f t="shared" si="15"/>
        <v/>
      </c>
      <c r="O7" s="290">
        <f t="shared" si="16"/>
        <v>5</v>
      </c>
      <c r="P7" s="296"/>
      <c r="Q7" s="275" t="str">
        <f t="shared" si="17"/>
        <v>02</v>
      </c>
      <c r="R7" s="306" t="str">
        <f t="shared" si="18"/>
        <v>A.1.02</v>
      </c>
      <c r="W7" s="269">
        <v>6</v>
      </c>
      <c r="X7" s="270" t="s">
        <v>70</v>
      </c>
    </row>
    <row r="8" spans="1:24" ht="30" x14ac:dyDescent="0.25">
      <c r="A8" s="10">
        <v>6</v>
      </c>
      <c r="B8" s="297" t="str">
        <f t="shared" si="9"/>
        <v>A.1.03</v>
      </c>
      <c r="C8" s="304" t="s">
        <v>96</v>
      </c>
      <c r="D8" s="10">
        <v>1</v>
      </c>
      <c r="E8" s="10">
        <v>3</v>
      </c>
      <c r="F8" s="10"/>
      <c r="G8" s="305" t="s">
        <v>229</v>
      </c>
      <c r="H8" s="289">
        <v>3</v>
      </c>
      <c r="I8" s="290" t="str">
        <f t="shared" si="10"/>
        <v/>
      </c>
      <c r="J8" s="220" t="str">
        <f t="shared" si="11"/>
        <v/>
      </c>
      <c r="K8" s="220" t="str">
        <f t="shared" si="12"/>
        <v/>
      </c>
      <c r="L8" s="220" t="str">
        <f t="shared" si="13"/>
        <v/>
      </c>
      <c r="M8" s="220">
        <f t="shared" si="14"/>
        <v>5</v>
      </c>
      <c r="N8" s="220" t="str">
        <f t="shared" si="15"/>
        <v/>
      </c>
      <c r="O8" s="290">
        <f t="shared" si="16"/>
        <v>5</v>
      </c>
      <c r="P8" s="296"/>
      <c r="Q8" s="275" t="str">
        <f t="shared" si="17"/>
        <v>03</v>
      </c>
      <c r="R8" s="306" t="str">
        <f t="shared" si="18"/>
        <v>A.1.03</v>
      </c>
    </row>
    <row r="9" spans="1:24" x14ac:dyDescent="0.25">
      <c r="A9" s="10">
        <v>7</v>
      </c>
      <c r="B9" s="297" t="str">
        <f t="shared" si="9"/>
        <v>A.1.04</v>
      </c>
      <c r="C9" s="304" t="s">
        <v>96</v>
      </c>
      <c r="D9" s="10">
        <v>1</v>
      </c>
      <c r="E9" s="10">
        <v>4</v>
      </c>
      <c r="F9" s="10"/>
      <c r="G9" s="305" t="s">
        <v>230</v>
      </c>
      <c r="H9" s="289">
        <v>4</v>
      </c>
      <c r="I9" s="290" t="str">
        <f t="shared" si="10"/>
        <v/>
      </c>
      <c r="J9" s="220" t="str">
        <f t="shared" si="11"/>
        <v/>
      </c>
      <c r="K9" s="220" t="str">
        <f t="shared" si="12"/>
        <v/>
      </c>
      <c r="L9" s="220" t="str">
        <f t="shared" si="13"/>
        <v/>
      </c>
      <c r="M9" s="220">
        <f t="shared" si="14"/>
        <v>5</v>
      </c>
      <c r="N9" s="220" t="str">
        <f t="shared" si="15"/>
        <v/>
      </c>
      <c r="O9" s="290">
        <f t="shared" si="16"/>
        <v>5</v>
      </c>
      <c r="P9" s="296"/>
      <c r="Q9" s="275" t="str">
        <f t="shared" si="17"/>
        <v>04</v>
      </c>
      <c r="R9" s="306" t="str">
        <f t="shared" si="18"/>
        <v>A.1.04</v>
      </c>
    </row>
    <row r="10" spans="1:24" ht="90" x14ac:dyDescent="0.25">
      <c r="A10" s="10">
        <v>8</v>
      </c>
      <c r="B10" s="297" t="str">
        <f t="shared" si="9"/>
        <v/>
      </c>
      <c r="C10" s="304"/>
      <c r="D10" s="10"/>
      <c r="E10" s="10"/>
      <c r="F10" s="10" t="s">
        <v>143</v>
      </c>
      <c r="G10" s="305" t="s">
        <v>231</v>
      </c>
      <c r="I10" s="290" t="str">
        <f t="shared" si="10"/>
        <v/>
      </c>
      <c r="J10" s="220" t="str">
        <f t="shared" si="11"/>
        <v/>
      </c>
      <c r="K10" s="220">
        <f t="shared" si="12"/>
        <v>3</v>
      </c>
      <c r="L10" s="220" t="str">
        <f t="shared" si="13"/>
        <v/>
      </c>
      <c r="M10" s="220" t="str">
        <f t="shared" si="14"/>
        <v/>
      </c>
      <c r="N10" s="220" t="str">
        <f t="shared" si="15"/>
        <v/>
      </c>
      <c r="O10" s="290">
        <f t="shared" si="16"/>
        <v>3</v>
      </c>
      <c r="P10" s="296"/>
      <c r="Q10" s="275" t="str">
        <f t="shared" si="17"/>
        <v/>
      </c>
      <c r="R10" s="306" t="str">
        <f t="shared" si="18"/>
        <v/>
      </c>
    </row>
    <row r="11" spans="1:24" ht="60" x14ac:dyDescent="0.25">
      <c r="A11" s="10">
        <v>9</v>
      </c>
      <c r="B11" s="297" t="str">
        <f t="shared" si="9"/>
        <v>A.1.05</v>
      </c>
      <c r="C11" s="304" t="s">
        <v>96</v>
      </c>
      <c r="D11" s="10">
        <v>1</v>
      </c>
      <c r="E11" s="10">
        <v>5</v>
      </c>
      <c r="F11" s="10"/>
      <c r="G11" s="305" t="s">
        <v>232</v>
      </c>
      <c r="H11" s="289">
        <v>3</v>
      </c>
      <c r="I11" s="290" t="str">
        <f t="shared" si="10"/>
        <v/>
      </c>
      <c r="J11" s="220" t="str">
        <f t="shared" si="11"/>
        <v/>
      </c>
      <c r="K11" s="220" t="str">
        <f t="shared" si="12"/>
        <v/>
      </c>
      <c r="L11" s="220" t="str">
        <f t="shared" si="13"/>
        <v/>
      </c>
      <c r="M11" s="220">
        <f t="shared" si="14"/>
        <v>5</v>
      </c>
      <c r="N11" s="220" t="str">
        <f t="shared" si="15"/>
        <v/>
      </c>
      <c r="O11" s="290">
        <f t="shared" si="16"/>
        <v>5</v>
      </c>
      <c r="P11" s="296"/>
      <c r="Q11" s="275" t="str">
        <f t="shared" si="17"/>
        <v>05</v>
      </c>
      <c r="R11" s="306" t="str">
        <f t="shared" si="18"/>
        <v>A.1.05</v>
      </c>
    </row>
    <row r="12" spans="1:24" ht="60" x14ac:dyDescent="0.25">
      <c r="A12" s="10">
        <v>10</v>
      </c>
      <c r="B12" s="297" t="str">
        <f t="shared" si="9"/>
        <v>A.1.06</v>
      </c>
      <c r="C12" s="304" t="s">
        <v>96</v>
      </c>
      <c r="D12" s="10">
        <v>1</v>
      </c>
      <c r="E12" s="10">
        <v>6</v>
      </c>
      <c r="F12" s="10"/>
      <c r="G12" s="305" t="s">
        <v>233</v>
      </c>
      <c r="H12" s="289">
        <v>5</v>
      </c>
      <c r="I12" s="290" t="str">
        <f t="shared" si="10"/>
        <v/>
      </c>
      <c r="J12" s="220" t="str">
        <f t="shared" si="11"/>
        <v/>
      </c>
      <c r="K12" s="220" t="str">
        <f t="shared" si="12"/>
        <v/>
      </c>
      <c r="L12" s="220" t="str">
        <f t="shared" si="13"/>
        <v/>
      </c>
      <c r="M12" s="220">
        <f t="shared" si="14"/>
        <v>5</v>
      </c>
      <c r="N12" s="220" t="str">
        <f t="shared" si="15"/>
        <v/>
      </c>
      <c r="O12" s="290">
        <f t="shared" si="16"/>
        <v>5</v>
      </c>
      <c r="P12" s="296"/>
      <c r="Q12" s="275" t="str">
        <f t="shared" si="17"/>
        <v>06</v>
      </c>
      <c r="R12" s="306" t="str">
        <f t="shared" si="18"/>
        <v>A.1.06</v>
      </c>
    </row>
    <row r="13" spans="1:24" ht="90" x14ac:dyDescent="0.25">
      <c r="A13" s="10">
        <v>11</v>
      </c>
      <c r="B13" s="297" t="str">
        <f t="shared" si="9"/>
        <v/>
      </c>
      <c r="C13" s="304"/>
      <c r="D13" s="10"/>
      <c r="E13" s="10"/>
      <c r="F13" s="10" t="s">
        <v>143</v>
      </c>
      <c r="G13" s="305" t="s">
        <v>234</v>
      </c>
      <c r="I13" s="290" t="str">
        <f t="shared" si="10"/>
        <v/>
      </c>
      <c r="J13" s="220" t="str">
        <f t="shared" si="11"/>
        <v/>
      </c>
      <c r="K13" s="220">
        <f t="shared" si="12"/>
        <v>3</v>
      </c>
      <c r="L13" s="220" t="str">
        <f t="shared" si="13"/>
        <v/>
      </c>
      <c r="M13" s="220" t="str">
        <f t="shared" si="14"/>
        <v/>
      </c>
      <c r="N13" s="220" t="str">
        <f t="shared" si="15"/>
        <v/>
      </c>
      <c r="O13" s="290">
        <f t="shared" si="16"/>
        <v>3</v>
      </c>
      <c r="P13" s="296"/>
      <c r="Q13" s="275" t="str">
        <f t="shared" si="17"/>
        <v/>
      </c>
      <c r="R13" s="306" t="str">
        <f t="shared" si="18"/>
        <v/>
      </c>
    </row>
    <row r="14" spans="1:24" x14ac:dyDescent="0.25">
      <c r="A14" s="10">
        <v>12</v>
      </c>
      <c r="B14" s="297" t="str">
        <f t="shared" si="9"/>
        <v>A.2</v>
      </c>
      <c r="C14" s="304" t="s">
        <v>96</v>
      </c>
      <c r="D14" s="10">
        <v>2</v>
      </c>
      <c r="E14" s="10"/>
      <c r="F14" s="10"/>
      <c r="G14" s="305" t="s">
        <v>235</v>
      </c>
      <c r="I14" s="290" t="str">
        <f t="shared" si="10"/>
        <v/>
      </c>
      <c r="J14" s="220">
        <f t="shared" si="11"/>
        <v>2</v>
      </c>
      <c r="K14" s="220" t="str">
        <f t="shared" si="12"/>
        <v/>
      </c>
      <c r="L14" s="220" t="str">
        <f t="shared" si="13"/>
        <v/>
      </c>
      <c r="M14" s="220" t="str">
        <f t="shared" si="14"/>
        <v/>
      </c>
      <c r="N14" s="220" t="str">
        <f t="shared" si="15"/>
        <v/>
      </c>
      <c r="O14" s="290">
        <f t="shared" si="16"/>
        <v>2</v>
      </c>
      <c r="P14" s="296"/>
      <c r="Q14" s="275" t="str">
        <f t="shared" si="17"/>
        <v/>
      </c>
      <c r="R14" s="306" t="str">
        <f t="shared" si="18"/>
        <v>A.2</v>
      </c>
    </row>
    <row r="15" spans="1:24" ht="30" x14ac:dyDescent="0.25">
      <c r="A15" s="10">
        <v>13</v>
      </c>
      <c r="B15" s="297" t="str">
        <f t="shared" si="9"/>
        <v>A.2.01</v>
      </c>
      <c r="C15" s="304" t="s">
        <v>96</v>
      </c>
      <c r="D15" s="10">
        <v>2</v>
      </c>
      <c r="E15" s="10">
        <v>1</v>
      </c>
      <c r="F15" s="10"/>
      <c r="G15" s="305" t="s">
        <v>236</v>
      </c>
      <c r="H15" s="289">
        <v>1</v>
      </c>
      <c r="I15" s="290" t="str">
        <f t="shared" si="10"/>
        <v/>
      </c>
      <c r="J15" s="220" t="str">
        <f t="shared" si="11"/>
        <v/>
      </c>
      <c r="K15" s="220" t="str">
        <f t="shared" si="12"/>
        <v/>
      </c>
      <c r="L15" s="220" t="str">
        <f t="shared" si="13"/>
        <v/>
      </c>
      <c r="M15" s="220">
        <f t="shared" si="14"/>
        <v>5</v>
      </c>
      <c r="N15" s="220" t="str">
        <f t="shared" si="15"/>
        <v/>
      </c>
      <c r="O15" s="290">
        <f t="shared" si="16"/>
        <v>5</v>
      </c>
      <c r="P15" s="296"/>
      <c r="Q15" s="275" t="str">
        <f t="shared" si="17"/>
        <v>01</v>
      </c>
      <c r="R15" s="306" t="str">
        <f t="shared" si="18"/>
        <v>A.2.01</v>
      </c>
    </row>
    <row r="16" spans="1:24" ht="45" x14ac:dyDescent="0.25">
      <c r="A16" s="10">
        <v>14</v>
      </c>
      <c r="B16" s="297" t="str">
        <f t="shared" si="9"/>
        <v/>
      </c>
      <c r="C16" s="304"/>
      <c r="D16" s="10"/>
      <c r="E16" s="10"/>
      <c r="F16" s="10" t="s">
        <v>143</v>
      </c>
      <c r="G16" s="305" t="s">
        <v>237</v>
      </c>
      <c r="I16" s="290" t="str">
        <f t="shared" si="10"/>
        <v/>
      </c>
      <c r="J16" s="220" t="str">
        <f t="shared" si="11"/>
        <v/>
      </c>
      <c r="K16" s="220">
        <f t="shared" si="12"/>
        <v>3</v>
      </c>
      <c r="L16" s="220" t="str">
        <f t="shared" si="13"/>
        <v/>
      </c>
      <c r="M16" s="220" t="str">
        <f t="shared" si="14"/>
        <v/>
      </c>
      <c r="N16" s="220" t="str">
        <f t="shared" si="15"/>
        <v/>
      </c>
      <c r="O16" s="290">
        <f t="shared" si="16"/>
        <v>3</v>
      </c>
      <c r="P16" s="296"/>
      <c r="Q16" s="275" t="str">
        <f t="shared" si="17"/>
        <v/>
      </c>
      <c r="R16" s="306" t="str">
        <f t="shared" si="18"/>
        <v/>
      </c>
    </row>
    <row r="17" spans="1:18" ht="30" x14ac:dyDescent="0.25">
      <c r="A17" s="10">
        <v>15</v>
      </c>
      <c r="B17" s="297" t="str">
        <f t="shared" si="9"/>
        <v>A.2.02</v>
      </c>
      <c r="C17" s="304" t="s">
        <v>96</v>
      </c>
      <c r="D17" s="10">
        <v>2</v>
      </c>
      <c r="E17" s="10">
        <v>2</v>
      </c>
      <c r="F17" s="10"/>
      <c r="G17" s="305" t="s">
        <v>238</v>
      </c>
      <c r="H17" s="289">
        <v>4</v>
      </c>
      <c r="I17" s="290" t="str">
        <f t="shared" si="10"/>
        <v/>
      </c>
      <c r="J17" s="220" t="str">
        <f t="shared" si="11"/>
        <v/>
      </c>
      <c r="K17" s="220" t="str">
        <f t="shared" si="12"/>
        <v/>
      </c>
      <c r="L17" s="220" t="str">
        <f t="shared" si="13"/>
        <v/>
      </c>
      <c r="M17" s="220">
        <f t="shared" si="14"/>
        <v>5</v>
      </c>
      <c r="N17" s="220" t="str">
        <f t="shared" si="15"/>
        <v/>
      </c>
      <c r="O17" s="290">
        <f t="shared" si="16"/>
        <v>5</v>
      </c>
      <c r="P17" s="296"/>
      <c r="Q17" s="275" t="str">
        <f t="shared" si="17"/>
        <v>02</v>
      </c>
      <c r="R17" s="306" t="str">
        <f t="shared" si="18"/>
        <v>A.2.02</v>
      </c>
    </row>
    <row r="18" spans="1:18" ht="60" x14ac:dyDescent="0.25">
      <c r="A18" s="10">
        <v>16</v>
      </c>
      <c r="B18" s="297" t="str">
        <f t="shared" si="9"/>
        <v/>
      </c>
      <c r="C18" s="304"/>
      <c r="D18" s="10"/>
      <c r="E18" s="10"/>
      <c r="F18" s="10" t="s">
        <v>143</v>
      </c>
      <c r="G18" s="305" t="s">
        <v>239</v>
      </c>
      <c r="I18" s="290" t="str">
        <f t="shared" si="10"/>
        <v/>
      </c>
      <c r="J18" s="220" t="str">
        <f t="shared" si="11"/>
        <v/>
      </c>
      <c r="K18" s="220">
        <f t="shared" si="12"/>
        <v>3</v>
      </c>
      <c r="L18" s="220" t="str">
        <f t="shared" si="13"/>
        <v/>
      </c>
      <c r="M18" s="220" t="str">
        <f t="shared" si="14"/>
        <v/>
      </c>
      <c r="N18" s="220" t="str">
        <f t="shared" si="15"/>
        <v/>
      </c>
      <c r="O18" s="290">
        <f t="shared" si="16"/>
        <v>3</v>
      </c>
      <c r="P18" s="296"/>
      <c r="Q18" s="275" t="str">
        <f t="shared" si="17"/>
        <v/>
      </c>
      <c r="R18" s="306" t="str">
        <f t="shared" si="18"/>
        <v/>
      </c>
    </row>
    <row r="19" spans="1:18" ht="90" x14ac:dyDescent="0.25">
      <c r="A19" s="10">
        <v>17</v>
      </c>
      <c r="B19" s="297" t="str">
        <f t="shared" si="9"/>
        <v>A.2.03</v>
      </c>
      <c r="C19" s="304" t="s">
        <v>96</v>
      </c>
      <c r="D19" s="10">
        <v>2</v>
      </c>
      <c r="E19" s="10">
        <v>3</v>
      </c>
      <c r="F19" s="10"/>
      <c r="G19" s="305" t="s">
        <v>240</v>
      </c>
      <c r="H19" s="289">
        <v>3</v>
      </c>
      <c r="I19" s="290" t="str">
        <f t="shared" si="10"/>
        <v/>
      </c>
      <c r="J19" s="220" t="str">
        <f t="shared" si="11"/>
        <v/>
      </c>
      <c r="K19" s="220" t="str">
        <f t="shared" si="12"/>
        <v/>
      </c>
      <c r="L19" s="220" t="str">
        <f t="shared" si="13"/>
        <v/>
      </c>
      <c r="M19" s="220">
        <f t="shared" si="14"/>
        <v>5</v>
      </c>
      <c r="N19" s="220" t="str">
        <f t="shared" si="15"/>
        <v/>
      </c>
      <c r="O19" s="290">
        <f t="shared" si="16"/>
        <v>5</v>
      </c>
      <c r="P19" s="296"/>
      <c r="Q19" s="275" t="str">
        <f t="shared" si="17"/>
        <v>03</v>
      </c>
      <c r="R19" s="306" t="str">
        <f t="shared" si="18"/>
        <v>A.2.03</v>
      </c>
    </row>
    <row r="20" spans="1:18" ht="60" x14ac:dyDescent="0.25">
      <c r="A20" s="10">
        <v>18</v>
      </c>
      <c r="B20" s="297" t="str">
        <f t="shared" si="9"/>
        <v>A.2.04</v>
      </c>
      <c r="C20" s="304" t="s">
        <v>96</v>
      </c>
      <c r="D20" s="10">
        <v>2</v>
      </c>
      <c r="E20" s="10">
        <v>4</v>
      </c>
      <c r="F20" s="10"/>
      <c r="G20" s="305" t="s">
        <v>241</v>
      </c>
      <c r="H20" s="289">
        <v>3</v>
      </c>
      <c r="I20" s="290" t="str">
        <f t="shared" si="10"/>
        <v/>
      </c>
      <c r="J20" s="220" t="str">
        <f t="shared" si="11"/>
        <v/>
      </c>
      <c r="K20" s="220" t="str">
        <f t="shared" si="12"/>
        <v/>
      </c>
      <c r="L20" s="220" t="str">
        <f t="shared" si="13"/>
        <v/>
      </c>
      <c r="M20" s="220">
        <f t="shared" si="14"/>
        <v>5</v>
      </c>
      <c r="N20" s="220" t="str">
        <f t="shared" si="15"/>
        <v/>
      </c>
      <c r="O20" s="290">
        <f t="shared" si="16"/>
        <v>5</v>
      </c>
      <c r="P20" s="296"/>
      <c r="Q20" s="275" t="str">
        <f t="shared" si="17"/>
        <v>04</v>
      </c>
      <c r="R20" s="306" t="str">
        <f t="shared" si="18"/>
        <v>A.2.04</v>
      </c>
    </row>
    <row r="21" spans="1:18" ht="45" x14ac:dyDescent="0.25">
      <c r="A21" s="10">
        <v>19</v>
      </c>
      <c r="B21" s="297" t="str">
        <f t="shared" si="9"/>
        <v>A.2.05</v>
      </c>
      <c r="C21" s="304" t="s">
        <v>96</v>
      </c>
      <c r="D21" s="10">
        <v>2</v>
      </c>
      <c r="E21" s="10">
        <v>5</v>
      </c>
      <c r="F21" s="10"/>
      <c r="G21" s="305" t="s">
        <v>242</v>
      </c>
      <c r="H21" s="289">
        <v>3</v>
      </c>
      <c r="I21" s="290" t="str">
        <f t="shared" si="10"/>
        <v/>
      </c>
      <c r="J21" s="220" t="str">
        <f t="shared" si="11"/>
        <v/>
      </c>
      <c r="K21" s="220" t="str">
        <f t="shared" si="12"/>
        <v/>
      </c>
      <c r="L21" s="220" t="str">
        <f t="shared" si="13"/>
        <v/>
      </c>
      <c r="M21" s="220">
        <f t="shared" si="14"/>
        <v>5</v>
      </c>
      <c r="N21" s="220" t="str">
        <f t="shared" si="15"/>
        <v/>
      </c>
      <c r="O21" s="290">
        <f t="shared" si="16"/>
        <v>5</v>
      </c>
      <c r="P21" s="296"/>
      <c r="Q21" s="275" t="str">
        <f t="shared" si="17"/>
        <v>05</v>
      </c>
      <c r="R21" s="306" t="str">
        <f t="shared" si="18"/>
        <v>A.2.05</v>
      </c>
    </row>
    <row r="22" spans="1:18" ht="75" x14ac:dyDescent="0.25">
      <c r="A22" s="10">
        <v>20</v>
      </c>
      <c r="B22" s="297" t="str">
        <f t="shared" si="9"/>
        <v>A.2.06</v>
      </c>
      <c r="C22" s="304" t="s">
        <v>96</v>
      </c>
      <c r="D22" s="10">
        <v>2</v>
      </c>
      <c r="E22" s="10">
        <v>6</v>
      </c>
      <c r="F22" s="10"/>
      <c r="G22" s="305" t="s">
        <v>243</v>
      </c>
      <c r="H22" s="289">
        <v>4</v>
      </c>
      <c r="I22" s="290" t="str">
        <f t="shared" si="10"/>
        <v/>
      </c>
      <c r="J22" s="220" t="str">
        <f t="shared" si="11"/>
        <v/>
      </c>
      <c r="K22" s="220" t="str">
        <f t="shared" si="12"/>
        <v/>
      </c>
      <c r="L22" s="220" t="str">
        <f t="shared" si="13"/>
        <v/>
      </c>
      <c r="M22" s="220">
        <f t="shared" si="14"/>
        <v>5</v>
      </c>
      <c r="N22" s="220" t="str">
        <f t="shared" si="15"/>
        <v/>
      </c>
      <c r="O22" s="290">
        <f t="shared" si="16"/>
        <v>5</v>
      </c>
      <c r="P22" s="296"/>
      <c r="Q22" s="275" t="str">
        <f t="shared" si="17"/>
        <v>06</v>
      </c>
      <c r="R22" s="306" t="str">
        <f t="shared" si="18"/>
        <v>A.2.06</v>
      </c>
    </row>
    <row r="23" spans="1:18" ht="60" x14ac:dyDescent="0.25">
      <c r="A23" s="10">
        <v>21</v>
      </c>
      <c r="B23" s="297" t="str">
        <f t="shared" si="9"/>
        <v>A.2.07</v>
      </c>
      <c r="C23" s="304" t="s">
        <v>96</v>
      </c>
      <c r="D23" s="10">
        <v>2</v>
      </c>
      <c r="E23" s="10">
        <v>7</v>
      </c>
      <c r="F23" s="10"/>
      <c r="G23" s="305" t="s">
        <v>244</v>
      </c>
      <c r="H23" s="289">
        <v>5</v>
      </c>
      <c r="I23" s="290" t="str">
        <f t="shared" si="10"/>
        <v/>
      </c>
      <c r="J23" s="220" t="str">
        <f t="shared" si="11"/>
        <v/>
      </c>
      <c r="K23" s="220" t="str">
        <f t="shared" si="12"/>
        <v/>
      </c>
      <c r="L23" s="220" t="str">
        <f t="shared" si="13"/>
        <v/>
      </c>
      <c r="M23" s="220">
        <f t="shared" si="14"/>
        <v>5</v>
      </c>
      <c r="N23" s="220" t="str">
        <f t="shared" si="15"/>
        <v/>
      </c>
      <c r="O23" s="290">
        <f t="shared" si="16"/>
        <v>5</v>
      </c>
      <c r="P23" s="296"/>
      <c r="Q23" s="275" t="str">
        <f t="shared" si="17"/>
        <v>07</v>
      </c>
      <c r="R23" s="306" t="str">
        <f t="shared" si="18"/>
        <v>A.2.07</v>
      </c>
    </row>
    <row r="24" spans="1:18" ht="30" x14ac:dyDescent="0.25">
      <c r="A24" s="10">
        <v>22</v>
      </c>
      <c r="B24" s="297" t="str">
        <f t="shared" si="9"/>
        <v>A.2.08</v>
      </c>
      <c r="C24" s="304" t="s">
        <v>96</v>
      </c>
      <c r="D24" s="10">
        <v>2</v>
      </c>
      <c r="E24" s="10">
        <v>8</v>
      </c>
      <c r="F24" s="10"/>
      <c r="G24" s="305" t="s">
        <v>245</v>
      </c>
      <c r="H24" s="289">
        <v>5</v>
      </c>
      <c r="I24" s="290" t="str">
        <f t="shared" si="10"/>
        <v/>
      </c>
      <c r="J24" s="220" t="str">
        <f t="shared" si="11"/>
        <v/>
      </c>
      <c r="K24" s="220" t="str">
        <f t="shared" si="12"/>
        <v/>
      </c>
      <c r="L24" s="220" t="str">
        <f t="shared" si="13"/>
        <v/>
      </c>
      <c r="M24" s="220">
        <f t="shared" si="14"/>
        <v>5</v>
      </c>
      <c r="N24" s="220" t="str">
        <f t="shared" si="15"/>
        <v/>
      </c>
      <c r="O24" s="290">
        <f t="shared" si="16"/>
        <v>5</v>
      </c>
      <c r="P24" s="296"/>
      <c r="Q24" s="275" t="str">
        <f t="shared" si="17"/>
        <v>08</v>
      </c>
      <c r="R24" s="306" t="str">
        <f t="shared" si="18"/>
        <v>A.2.08</v>
      </c>
    </row>
    <row r="25" spans="1:18" ht="45" x14ac:dyDescent="0.25">
      <c r="A25" s="10">
        <v>23</v>
      </c>
      <c r="B25" s="297" t="str">
        <f t="shared" si="9"/>
        <v/>
      </c>
      <c r="C25" s="304"/>
      <c r="D25" s="10"/>
      <c r="E25" s="10"/>
      <c r="F25" s="10" t="s">
        <v>143</v>
      </c>
      <c r="G25" s="305" t="s">
        <v>354</v>
      </c>
      <c r="I25" s="290" t="str">
        <f t="shared" si="10"/>
        <v/>
      </c>
      <c r="J25" s="220" t="str">
        <f t="shared" si="11"/>
        <v/>
      </c>
      <c r="K25" s="220">
        <f t="shared" si="12"/>
        <v>3</v>
      </c>
      <c r="L25" s="220" t="str">
        <f t="shared" si="13"/>
        <v/>
      </c>
      <c r="M25" s="220" t="str">
        <f t="shared" si="14"/>
        <v/>
      </c>
      <c r="N25" s="220" t="str">
        <f t="shared" si="15"/>
        <v/>
      </c>
      <c r="O25" s="290">
        <f t="shared" si="16"/>
        <v>3</v>
      </c>
      <c r="P25" s="296"/>
      <c r="Q25" s="275" t="str">
        <f t="shared" si="17"/>
        <v/>
      </c>
      <c r="R25" s="306" t="str">
        <f t="shared" si="18"/>
        <v/>
      </c>
    </row>
    <row r="26" spans="1:18" x14ac:dyDescent="0.25">
      <c r="A26" s="10">
        <v>24</v>
      </c>
      <c r="B26" s="297" t="str">
        <f t="shared" si="9"/>
        <v>A.3</v>
      </c>
      <c r="C26" s="304" t="s">
        <v>96</v>
      </c>
      <c r="D26" s="10">
        <v>3</v>
      </c>
      <c r="E26" s="10"/>
      <c r="F26" s="10"/>
      <c r="G26" s="305" t="s">
        <v>246</v>
      </c>
      <c r="I26" s="290" t="str">
        <f t="shared" si="10"/>
        <v/>
      </c>
      <c r="J26" s="220">
        <f t="shared" si="11"/>
        <v>2</v>
      </c>
      <c r="K26" s="220" t="str">
        <f t="shared" si="12"/>
        <v/>
      </c>
      <c r="L26" s="220" t="str">
        <f t="shared" si="13"/>
        <v/>
      </c>
      <c r="M26" s="220" t="str">
        <f t="shared" si="14"/>
        <v/>
      </c>
      <c r="N26" s="220" t="str">
        <f t="shared" si="15"/>
        <v/>
      </c>
      <c r="O26" s="290">
        <f t="shared" si="16"/>
        <v>2</v>
      </c>
      <c r="P26" s="296"/>
      <c r="Q26" s="275" t="str">
        <f t="shared" si="17"/>
        <v/>
      </c>
      <c r="R26" s="306" t="str">
        <f t="shared" si="18"/>
        <v>A.3</v>
      </c>
    </row>
    <row r="27" spans="1:18" ht="30" x14ac:dyDescent="0.25">
      <c r="A27" s="10">
        <v>25</v>
      </c>
      <c r="B27" s="297" t="str">
        <f t="shared" si="9"/>
        <v>A.3.01</v>
      </c>
      <c r="C27" s="304" t="s">
        <v>96</v>
      </c>
      <c r="D27" s="10">
        <v>3</v>
      </c>
      <c r="E27" s="10">
        <v>1</v>
      </c>
      <c r="F27" s="10"/>
      <c r="G27" s="305" t="s">
        <v>144</v>
      </c>
      <c r="H27" s="289">
        <v>1</v>
      </c>
      <c r="I27" s="290" t="str">
        <f t="shared" si="10"/>
        <v/>
      </c>
      <c r="J27" s="220" t="str">
        <f t="shared" si="11"/>
        <v/>
      </c>
      <c r="K27" s="220" t="str">
        <f t="shared" si="12"/>
        <v/>
      </c>
      <c r="L27" s="220" t="str">
        <f t="shared" si="13"/>
        <v/>
      </c>
      <c r="M27" s="220">
        <f t="shared" si="14"/>
        <v>5</v>
      </c>
      <c r="N27" s="220" t="str">
        <f t="shared" si="15"/>
        <v/>
      </c>
      <c r="O27" s="290">
        <f t="shared" si="16"/>
        <v>5</v>
      </c>
      <c r="P27" s="296"/>
      <c r="Q27" s="275" t="str">
        <f t="shared" si="17"/>
        <v>01</v>
      </c>
      <c r="R27" s="306" t="str">
        <f t="shared" si="18"/>
        <v>A.3.01</v>
      </c>
    </row>
    <row r="28" spans="1:18" ht="30" x14ac:dyDescent="0.25">
      <c r="A28" s="10">
        <v>26</v>
      </c>
      <c r="B28" s="297" t="str">
        <f t="shared" si="9"/>
        <v>A.3.02</v>
      </c>
      <c r="C28" s="304" t="s">
        <v>96</v>
      </c>
      <c r="D28" s="10">
        <v>3</v>
      </c>
      <c r="E28" s="10">
        <v>2</v>
      </c>
      <c r="F28" s="10"/>
      <c r="G28" s="305" t="s">
        <v>145</v>
      </c>
      <c r="H28" s="289">
        <v>3</v>
      </c>
      <c r="I28" s="290" t="str">
        <f t="shared" si="10"/>
        <v/>
      </c>
      <c r="J28" s="220" t="str">
        <f t="shared" si="11"/>
        <v/>
      </c>
      <c r="K28" s="220" t="str">
        <f t="shared" si="12"/>
        <v/>
      </c>
      <c r="L28" s="220" t="str">
        <f t="shared" si="13"/>
        <v/>
      </c>
      <c r="M28" s="220">
        <f t="shared" si="14"/>
        <v>5</v>
      </c>
      <c r="N28" s="220" t="str">
        <f t="shared" si="15"/>
        <v/>
      </c>
      <c r="O28" s="290">
        <f t="shared" si="16"/>
        <v>5</v>
      </c>
      <c r="P28" s="296"/>
      <c r="Q28" s="275" t="str">
        <f t="shared" si="17"/>
        <v>02</v>
      </c>
      <c r="R28" s="306" t="str">
        <f t="shared" si="18"/>
        <v>A.3.02</v>
      </c>
    </row>
    <row r="29" spans="1:18" ht="75" x14ac:dyDescent="0.25">
      <c r="A29" s="10">
        <v>27</v>
      </c>
      <c r="B29" s="297" t="str">
        <f t="shared" si="9"/>
        <v/>
      </c>
      <c r="C29" s="304"/>
      <c r="D29" s="10"/>
      <c r="E29" s="10"/>
      <c r="F29" s="10" t="s">
        <v>143</v>
      </c>
      <c r="G29" s="305" t="s">
        <v>247</v>
      </c>
      <c r="I29" s="290" t="str">
        <f t="shared" si="10"/>
        <v/>
      </c>
      <c r="J29" s="220" t="str">
        <f t="shared" si="11"/>
        <v/>
      </c>
      <c r="K29" s="220">
        <f t="shared" si="12"/>
        <v>3</v>
      </c>
      <c r="L29" s="220" t="str">
        <f t="shared" si="13"/>
        <v/>
      </c>
      <c r="M29" s="220" t="str">
        <f t="shared" si="14"/>
        <v/>
      </c>
      <c r="N29" s="220" t="str">
        <f t="shared" si="15"/>
        <v/>
      </c>
      <c r="O29" s="290">
        <f t="shared" si="16"/>
        <v>3</v>
      </c>
      <c r="P29" s="296"/>
      <c r="Q29" s="275" t="str">
        <f t="shared" si="17"/>
        <v/>
      </c>
      <c r="R29" s="306" t="str">
        <f t="shared" si="18"/>
        <v/>
      </c>
    </row>
    <row r="30" spans="1:18" ht="45" x14ac:dyDescent="0.25">
      <c r="A30" s="10">
        <v>28</v>
      </c>
      <c r="B30" s="297" t="str">
        <f t="shared" si="9"/>
        <v>A.3.03</v>
      </c>
      <c r="C30" s="304" t="s">
        <v>96</v>
      </c>
      <c r="D30" s="10">
        <v>3</v>
      </c>
      <c r="E30" s="10">
        <v>3</v>
      </c>
      <c r="F30" s="10"/>
      <c r="G30" s="305" t="s">
        <v>146</v>
      </c>
      <c r="H30" s="289">
        <v>4</v>
      </c>
      <c r="I30" s="290" t="str">
        <f t="shared" si="10"/>
        <v/>
      </c>
      <c r="J30" s="220" t="str">
        <f t="shared" si="11"/>
        <v/>
      </c>
      <c r="K30" s="220" t="str">
        <f t="shared" si="12"/>
        <v/>
      </c>
      <c r="L30" s="220" t="str">
        <f t="shared" si="13"/>
        <v/>
      </c>
      <c r="M30" s="220">
        <f t="shared" si="14"/>
        <v>5</v>
      </c>
      <c r="N30" s="220" t="str">
        <f t="shared" si="15"/>
        <v/>
      </c>
      <c r="O30" s="290">
        <f t="shared" si="16"/>
        <v>5</v>
      </c>
      <c r="P30" s="296"/>
      <c r="Q30" s="275" t="str">
        <f t="shared" si="17"/>
        <v>03</v>
      </c>
      <c r="R30" s="306" t="str">
        <f t="shared" si="18"/>
        <v>A.3.03</v>
      </c>
    </row>
    <row r="31" spans="1:18" ht="45" x14ac:dyDescent="0.25">
      <c r="A31" s="10">
        <v>29</v>
      </c>
      <c r="B31" s="297" t="str">
        <f t="shared" si="9"/>
        <v>A.3.04</v>
      </c>
      <c r="C31" s="304" t="s">
        <v>96</v>
      </c>
      <c r="D31" s="10">
        <v>3</v>
      </c>
      <c r="E31" s="10">
        <v>4</v>
      </c>
      <c r="F31" s="10"/>
      <c r="G31" s="305" t="s">
        <v>248</v>
      </c>
      <c r="H31" s="289">
        <v>3</v>
      </c>
      <c r="I31" s="290" t="str">
        <f t="shared" si="10"/>
        <v/>
      </c>
      <c r="J31" s="220" t="str">
        <f t="shared" si="11"/>
        <v/>
      </c>
      <c r="K31" s="220" t="str">
        <f t="shared" si="12"/>
        <v/>
      </c>
      <c r="L31" s="220" t="str">
        <f t="shared" si="13"/>
        <v/>
      </c>
      <c r="M31" s="220">
        <f t="shared" si="14"/>
        <v>5</v>
      </c>
      <c r="N31" s="220" t="str">
        <f t="shared" si="15"/>
        <v/>
      </c>
      <c r="O31" s="290">
        <f t="shared" si="16"/>
        <v>5</v>
      </c>
      <c r="P31" s="296"/>
      <c r="Q31" s="275" t="str">
        <f t="shared" si="17"/>
        <v>04</v>
      </c>
      <c r="R31" s="306" t="str">
        <f t="shared" si="18"/>
        <v>A.3.04</v>
      </c>
    </row>
    <row r="32" spans="1:18" ht="45" x14ac:dyDescent="0.25">
      <c r="A32" s="10">
        <v>30</v>
      </c>
      <c r="B32" s="297" t="str">
        <f t="shared" si="9"/>
        <v>A.3.05</v>
      </c>
      <c r="C32" s="304" t="s">
        <v>96</v>
      </c>
      <c r="D32" s="10">
        <v>3</v>
      </c>
      <c r="E32" s="10">
        <v>5</v>
      </c>
      <c r="F32" s="10"/>
      <c r="G32" s="305" t="s">
        <v>147</v>
      </c>
      <c r="H32" s="289">
        <v>4</v>
      </c>
      <c r="I32" s="290" t="str">
        <f t="shared" si="10"/>
        <v/>
      </c>
      <c r="J32" s="220" t="str">
        <f t="shared" si="11"/>
        <v/>
      </c>
      <c r="K32" s="220" t="str">
        <f t="shared" si="12"/>
        <v/>
      </c>
      <c r="L32" s="220" t="str">
        <f t="shared" si="13"/>
        <v/>
      </c>
      <c r="M32" s="220">
        <f t="shared" si="14"/>
        <v>5</v>
      </c>
      <c r="N32" s="220" t="str">
        <f t="shared" si="15"/>
        <v/>
      </c>
      <c r="O32" s="290">
        <f t="shared" si="16"/>
        <v>5</v>
      </c>
      <c r="P32" s="296"/>
      <c r="Q32" s="275" t="str">
        <f t="shared" si="17"/>
        <v>05</v>
      </c>
      <c r="R32" s="306" t="str">
        <f t="shared" si="18"/>
        <v>A.3.05</v>
      </c>
    </row>
    <row r="33" spans="1:18" ht="75" x14ac:dyDescent="0.25">
      <c r="A33" s="10">
        <v>31</v>
      </c>
      <c r="B33" s="297" t="str">
        <f t="shared" si="9"/>
        <v>A.3.06</v>
      </c>
      <c r="C33" s="304" t="s">
        <v>96</v>
      </c>
      <c r="D33" s="10">
        <v>3</v>
      </c>
      <c r="E33" s="10">
        <v>6</v>
      </c>
      <c r="F33" s="10"/>
      <c r="G33" s="305" t="s">
        <v>148</v>
      </c>
      <c r="H33" s="289">
        <v>5</v>
      </c>
      <c r="I33" s="290" t="str">
        <f t="shared" si="10"/>
        <v/>
      </c>
      <c r="J33" s="220" t="str">
        <f t="shared" si="11"/>
        <v/>
      </c>
      <c r="K33" s="220" t="str">
        <f t="shared" si="12"/>
        <v/>
      </c>
      <c r="L33" s="220" t="str">
        <f t="shared" si="13"/>
        <v/>
      </c>
      <c r="M33" s="220">
        <f t="shared" si="14"/>
        <v>5</v>
      </c>
      <c r="N33" s="220" t="str">
        <f t="shared" si="15"/>
        <v/>
      </c>
      <c r="O33" s="290">
        <f t="shared" si="16"/>
        <v>5</v>
      </c>
      <c r="P33" s="296"/>
      <c r="Q33" s="275" t="str">
        <f t="shared" si="17"/>
        <v>06</v>
      </c>
      <c r="R33" s="306" t="str">
        <f t="shared" si="18"/>
        <v>A.3.06</v>
      </c>
    </row>
    <row r="34" spans="1:18" x14ac:dyDescent="0.25">
      <c r="A34" s="10">
        <v>32</v>
      </c>
      <c r="B34" s="297" t="str">
        <f t="shared" si="9"/>
        <v>A.4</v>
      </c>
      <c r="C34" s="304" t="s">
        <v>96</v>
      </c>
      <c r="D34" s="10">
        <v>4</v>
      </c>
      <c r="E34" s="10"/>
      <c r="F34" s="10"/>
      <c r="G34" s="305" t="s">
        <v>249</v>
      </c>
      <c r="I34" s="290" t="str">
        <f t="shared" si="10"/>
        <v/>
      </c>
      <c r="J34" s="220">
        <f t="shared" si="11"/>
        <v>2</v>
      </c>
      <c r="K34" s="220" t="str">
        <f t="shared" si="12"/>
        <v/>
      </c>
      <c r="L34" s="220" t="str">
        <f t="shared" si="13"/>
        <v/>
      </c>
      <c r="M34" s="220" t="str">
        <f t="shared" si="14"/>
        <v/>
      </c>
      <c r="N34" s="220" t="str">
        <f t="shared" si="15"/>
        <v/>
      </c>
      <c r="O34" s="290">
        <f t="shared" si="16"/>
        <v>2</v>
      </c>
      <c r="P34" s="296"/>
      <c r="Q34" s="275" t="str">
        <f t="shared" si="17"/>
        <v/>
      </c>
      <c r="R34" s="306" t="str">
        <f t="shared" si="18"/>
        <v>A.4</v>
      </c>
    </row>
    <row r="35" spans="1:18" ht="45" x14ac:dyDescent="0.25">
      <c r="A35" s="10">
        <v>33</v>
      </c>
      <c r="B35" s="297" t="str">
        <f t="shared" si="9"/>
        <v>A.4.01</v>
      </c>
      <c r="C35" s="304" t="s">
        <v>96</v>
      </c>
      <c r="D35" s="10">
        <v>4</v>
      </c>
      <c r="E35" s="10">
        <v>1</v>
      </c>
      <c r="F35" s="10"/>
      <c r="G35" s="305" t="s">
        <v>149</v>
      </c>
      <c r="H35" s="289">
        <v>1</v>
      </c>
      <c r="I35" s="290" t="str">
        <f t="shared" si="10"/>
        <v/>
      </c>
      <c r="J35" s="220" t="str">
        <f t="shared" si="11"/>
        <v/>
      </c>
      <c r="K35" s="220" t="str">
        <f t="shared" si="12"/>
        <v/>
      </c>
      <c r="L35" s="220" t="str">
        <f t="shared" si="13"/>
        <v/>
      </c>
      <c r="M35" s="220">
        <f t="shared" si="14"/>
        <v>5</v>
      </c>
      <c r="N35" s="220" t="str">
        <f t="shared" si="15"/>
        <v/>
      </c>
      <c r="O35" s="290">
        <f t="shared" si="16"/>
        <v>5</v>
      </c>
      <c r="P35" s="296"/>
      <c r="Q35" s="275" t="str">
        <f t="shared" si="17"/>
        <v>01</v>
      </c>
      <c r="R35" s="306" t="str">
        <f t="shared" si="18"/>
        <v>A.4.01</v>
      </c>
    </row>
    <row r="36" spans="1:18" ht="45" x14ac:dyDescent="0.25">
      <c r="A36" s="10">
        <v>34</v>
      </c>
      <c r="B36" s="297" t="str">
        <f t="shared" si="9"/>
        <v>A.4.02</v>
      </c>
      <c r="C36" s="304" t="s">
        <v>96</v>
      </c>
      <c r="D36" s="10">
        <v>4</v>
      </c>
      <c r="E36" s="10">
        <v>2</v>
      </c>
      <c r="F36" s="10"/>
      <c r="G36" s="305" t="s">
        <v>355</v>
      </c>
      <c r="H36" s="289">
        <v>2</v>
      </c>
      <c r="I36" s="290" t="str">
        <f t="shared" si="10"/>
        <v/>
      </c>
      <c r="J36" s="220" t="str">
        <f t="shared" si="11"/>
        <v/>
      </c>
      <c r="K36" s="220" t="str">
        <f t="shared" si="12"/>
        <v/>
      </c>
      <c r="L36" s="220" t="str">
        <f t="shared" si="13"/>
        <v/>
      </c>
      <c r="M36" s="220">
        <f t="shared" si="14"/>
        <v>5</v>
      </c>
      <c r="N36" s="220" t="str">
        <f t="shared" si="15"/>
        <v/>
      </c>
      <c r="O36" s="290">
        <f t="shared" si="16"/>
        <v>5</v>
      </c>
      <c r="P36" s="296"/>
      <c r="Q36" s="275" t="str">
        <f t="shared" si="17"/>
        <v>02</v>
      </c>
      <c r="R36" s="306" t="str">
        <f t="shared" si="18"/>
        <v>A.4.02</v>
      </c>
    </row>
    <row r="37" spans="1:18" ht="60" x14ac:dyDescent="0.25">
      <c r="A37" s="10">
        <v>35</v>
      </c>
      <c r="B37" s="297" t="str">
        <f t="shared" si="9"/>
        <v>A.4.03</v>
      </c>
      <c r="C37" s="304" t="s">
        <v>96</v>
      </c>
      <c r="D37" s="10">
        <v>4</v>
      </c>
      <c r="E37" s="10">
        <v>3</v>
      </c>
      <c r="F37" s="10"/>
      <c r="G37" s="305" t="s">
        <v>250</v>
      </c>
      <c r="H37" s="289">
        <v>3</v>
      </c>
      <c r="I37" s="290" t="str">
        <f t="shared" si="10"/>
        <v/>
      </c>
      <c r="J37" s="220" t="str">
        <f t="shared" si="11"/>
        <v/>
      </c>
      <c r="K37" s="220" t="str">
        <f t="shared" si="12"/>
        <v/>
      </c>
      <c r="L37" s="220" t="str">
        <f t="shared" si="13"/>
        <v/>
      </c>
      <c r="M37" s="220">
        <f t="shared" si="14"/>
        <v>5</v>
      </c>
      <c r="N37" s="220" t="str">
        <f t="shared" si="15"/>
        <v/>
      </c>
      <c r="O37" s="290">
        <f t="shared" si="16"/>
        <v>5</v>
      </c>
      <c r="P37" s="296"/>
      <c r="Q37" s="275" t="str">
        <f t="shared" si="17"/>
        <v>03</v>
      </c>
      <c r="R37" s="306" t="str">
        <f t="shared" si="18"/>
        <v>A.4.03</v>
      </c>
    </row>
    <row r="38" spans="1:18" ht="60" x14ac:dyDescent="0.25">
      <c r="A38" s="10">
        <v>36</v>
      </c>
      <c r="B38" s="297" t="str">
        <f t="shared" si="9"/>
        <v>A.4.04</v>
      </c>
      <c r="C38" s="304" t="s">
        <v>96</v>
      </c>
      <c r="D38" s="10">
        <v>4</v>
      </c>
      <c r="E38" s="10">
        <v>4</v>
      </c>
      <c r="F38" s="10"/>
      <c r="G38" s="305" t="s">
        <v>251</v>
      </c>
      <c r="H38" s="289">
        <v>4</v>
      </c>
      <c r="I38" s="290" t="str">
        <f t="shared" si="10"/>
        <v/>
      </c>
      <c r="J38" s="220" t="str">
        <f t="shared" si="11"/>
        <v/>
      </c>
      <c r="K38" s="220" t="str">
        <f t="shared" si="12"/>
        <v/>
      </c>
      <c r="L38" s="220" t="str">
        <f t="shared" si="13"/>
        <v/>
      </c>
      <c r="M38" s="220">
        <f t="shared" si="14"/>
        <v>5</v>
      </c>
      <c r="N38" s="220" t="str">
        <f t="shared" si="15"/>
        <v/>
      </c>
      <c r="O38" s="290">
        <f t="shared" si="16"/>
        <v>5</v>
      </c>
      <c r="P38" s="296"/>
      <c r="Q38" s="275" t="str">
        <f t="shared" si="17"/>
        <v>04</v>
      </c>
      <c r="R38" s="306" t="str">
        <f t="shared" si="18"/>
        <v>A.4.04</v>
      </c>
    </row>
    <row r="39" spans="1:18" ht="60" x14ac:dyDescent="0.25">
      <c r="A39" s="10">
        <v>37</v>
      </c>
      <c r="B39" s="297" t="str">
        <f t="shared" si="9"/>
        <v>A.4.05</v>
      </c>
      <c r="C39" s="304" t="s">
        <v>96</v>
      </c>
      <c r="D39" s="10">
        <v>4</v>
      </c>
      <c r="E39" s="10">
        <v>5</v>
      </c>
      <c r="F39" s="10"/>
      <c r="G39" s="305" t="s">
        <v>356</v>
      </c>
      <c r="H39" s="289">
        <v>4</v>
      </c>
      <c r="I39" s="290" t="str">
        <f t="shared" si="10"/>
        <v/>
      </c>
      <c r="J39" s="220" t="str">
        <f t="shared" si="11"/>
        <v/>
      </c>
      <c r="K39" s="220" t="str">
        <f t="shared" si="12"/>
        <v/>
      </c>
      <c r="L39" s="220" t="str">
        <f t="shared" si="13"/>
        <v/>
      </c>
      <c r="M39" s="220">
        <f t="shared" si="14"/>
        <v>5</v>
      </c>
      <c r="N39" s="220" t="str">
        <f t="shared" si="15"/>
        <v/>
      </c>
      <c r="O39" s="290">
        <f t="shared" si="16"/>
        <v>5</v>
      </c>
      <c r="P39" s="296"/>
      <c r="Q39" s="275" t="str">
        <f t="shared" si="17"/>
        <v>05</v>
      </c>
      <c r="R39" s="306" t="str">
        <f t="shared" si="18"/>
        <v>A.4.05</v>
      </c>
    </row>
    <row r="40" spans="1:18" ht="30" x14ac:dyDescent="0.25">
      <c r="A40" s="10">
        <v>38</v>
      </c>
      <c r="B40" s="297" t="str">
        <f t="shared" si="9"/>
        <v>A.4.06</v>
      </c>
      <c r="C40" s="304" t="s">
        <v>96</v>
      </c>
      <c r="D40" s="10">
        <v>4</v>
      </c>
      <c r="E40" s="10">
        <v>6</v>
      </c>
      <c r="F40" s="10"/>
      <c r="G40" s="305" t="s">
        <v>150</v>
      </c>
      <c r="H40" s="289">
        <v>4</v>
      </c>
      <c r="I40" s="290" t="str">
        <f t="shared" si="10"/>
        <v/>
      </c>
      <c r="J40" s="220" t="str">
        <f t="shared" si="11"/>
        <v/>
      </c>
      <c r="K40" s="220" t="str">
        <f t="shared" si="12"/>
        <v/>
      </c>
      <c r="L40" s="220" t="str">
        <f t="shared" si="13"/>
        <v/>
      </c>
      <c r="M40" s="220">
        <f t="shared" si="14"/>
        <v>5</v>
      </c>
      <c r="N40" s="220" t="str">
        <f t="shared" si="15"/>
        <v/>
      </c>
      <c r="O40" s="290">
        <f t="shared" si="16"/>
        <v>5</v>
      </c>
      <c r="P40" s="296"/>
      <c r="Q40" s="275" t="str">
        <f t="shared" si="17"/>
        <v>06</v>
      </c>
      <c r="R40" s="306" t="str">
        <f t="shared" si="18"/>
        <v>A.4.06</v>
      </c>
    </row>
    <row r="41" spans="1:18" ht="30" x14ac:dyDescent="0.25">
      <c r="A41" s="10">
        <v>39</v>
      </c>
      <c r="B41" s="297" t="str">
        <f t="shared" si="9"/>
        <v/>
      </c>
      <c r="C41" s="304"/>
      <c r="D41" s="10"/>
      <c r="E41" s="10"/>
      <c r="F41" s="10" t="s">
        <v>143</v>
      </c>
      <c r="G41" s="305" t="s">
        <v>252</v>
      </c>
      <c r="I41" s="290" t="str">
        <f t="shared" si="10"/>
        <v/>
      </c>
      <c r="J41" s="220" t="str">
        <f t="shared" si="11"/>
        <v/>
      </c>
      <c r="K41" s="220">
        <f t="shared" si="12"/>
        <v>3</v>
      </c>
      <c r="L41" s="220" t="str">
        <f t="shared" si="13"/>
        <v/>
      </c>
      <c r="M41" s="220" t="str">
        <f t="shared" si="14"/>
        <v/>
      </c>
      <c r="N41" s="220" t="str">
        <f t="shared" si="15"/>
        <v/>
      </c>
      <c r="O41" s="290">
        <f t="shared" si="16"/>
        <v>3</v>
      </c>
      <c r="P41" s="296"/>
      <c r="Q41" s="275" t="str">
        <f t="shared" si="17"/>
        <v/>
      </c>
      <c r="R41" s="306" t="str">
        <f t="shared" si="18"/>
        <v/>
      </c>
    </row>
    <row r="42" spans="1:18" ht="30" x14ac:dyDescent="0.25">
      <c r="A42" s="10">
        <v>40</v>
      </c>
      <c r="B42" s="297" t="str">
        <f t="shared" si="9"/>
        <v>A.4.07</v>
      </c>
      <c r="C42" s="304" t="s">
        <v>96</v>
      </c>
      <c r="D42" s="10">
        <v>4</v>
      </c>
      <c r="E42" s="10">
        <v>7</v>
      </c>
      <c r="F42" s="10"/>
      <c r="G42" s="305" t="s">
        <v>99</v>
      </c>
      <c r="H42" s="289">
        <v>5</v>
      </c>
      <c r="I42" s="290" t="str">
        <f t="shared" si="10"/>
        <v/>
      </c>
      <c r="J42" s="220" t="str">
        <f t="shared" si="11"/>
        <v/>
      </c>
      <c r="K42" s="220" t="str">
        <f t="shared" si="12"/>
        <v/>
      </c>
      <c r="L42" s="220" t="str">
        <f t="shared" si="13"/>
        <v/>
      </c>
      <c r="M42" s="220">
        <f t="shared" si="14"/>
        <v>5</v>
      </c>
      <c r="N42" s="220" t="str">
        <f t="shared" si="15"/>
        <v/>
      </c>
      <c r="O42" s="290">
        <f t="shared" si="16"/>
        <v>5</v>
      </c>
      <c r="P42" s="296"/>
      <c r="Q42" s="275" t="str">
        <f t="shared" si="17"/>
        <v>07</v>
      </c>
      <c r="R42" s="306" t="str">
        <f t="shared" si="18"/>
        <v>A.4.07</v>
      </c>
    </row>
    <row r="43" spans="1:18" ht="75" x14ac:dyDescent="0.25">
      <c r="A43" s="10">
        <v>41</v>
      </c>
      <c r="B43" s="297" t="str">
        <f t="shared" si="9"/>
        <v/>
      </c>
      <c r="C43" s="304"/>
      <c r="D43" s="10"/>
      <c r="E43" s="10"/>
      <c r="F43" s="10" t="s">
        <v>143</v>
      </c>
      <c r="G43" s="305" t="s">
        <v>253</v>
      </c>
      <c r="I43" s="290" t="str">
        <f t="shared" si="10"/>
        <v/>
      </c>
      <c r="J43" s="220" t="str">
        <f t="shared" si="11"/>
        <v/>
      </c>
      <c r="K43" s="220">
        <f t="shared" si="12"/>
        <v>3</v>
      </c>
      <c r="L43" s="220" t="str">
        <f t="shared" si="13"/>
        <v/>
      </c>
      <c r="M43" s="220" t="str">
        <f t="shared" si="14"/>
        <v/>
      </c>
      <c r="N43" s="220" t="str">
        <f t="shared" si="15"/>
        <v/>
      </c>
      <c r="O43" s="290">
        <f t="shared" si="16"/>
        <v>3</v>
      </c>
      <c r="P43" s="296"/>
      <c r="Q43" s="275" t="str">
        <f t="shared" si="17"/>
        <v/>
      </c>
      <c r="R43" s="306" t="str">
        <f t="shared" si="18"/>
        <v/>
      </c>
    </row>
    <row r="44" spans="1:18" x14ac:dyDescent="0.25">
      <c r="A44" s="10">
        <v>42</v>
      </c>
      <c r="B44" s="297" t="str">
        <f t="shared" si="9"/>
        <v>A.5</v>
      </c>
      <c r="C44" s="304" t="s">
        <v>96</v>
      </c>
      <c r="D44" s="10">
        <v>5</v>
      </c>
      <c r="E44" s="10"/>
      <c r="F44" s="10"/>
      <c r="G44" s="305" t="s">
        <v>206</v>
      </c>
      <c r="I44" s="290" t="str">
        <f t="shared" si="10"/>
        <v/>
      </c>
      <c r="J44" s="220">
        <f t="shared" si="11"/>
        <v>2</v>
      </c>
      <c r="K44" s="220" t="str">
        <f t="shared" si="12"/>
        <v/>
      </c>
      <c r="L44" s="220" t="str">
        <f t="shared" si="13"/>
        <v/>
      </c>
      <c r="M44" s="220" t="str">
        <f t="shared" si="14"/>
        <v/>
      </c>
      <c r="N44" s="220" t="str">
        <f t="shared" si="15"/>
        <v/>
      </c>
      <c r="O44" s="290">
        <f t="shared" si="16"/>
        <v>2</v>
      </c>
      <c r="P44" s="296"/>
      <c r="Q44" s="275" t="str">
        <f t="shared" si="17"/>
        <v/>
      </c>
      <c r="R44" s="306" t="str">
        <f t="shared" si="18"/>
        <v>A.5</v>
      </c>
    </row>
    <row r="45" spans="1:18" ht="30" x14ac:dyDescent="0.25">
      <c r="A45" s="10">
        <v>43</v>
      </c>
      <c r="B45" s="297" t="str">
        <f t="shared" si="9"/>
        <v>A.5.01</v>
      </c>
      <c r="C45" s="304" t="s">
        <v>96</v>
      </c>
      <c r="D45" s="10">
        <v>5</v>
      </c>
      <c r="E45" s="10">
        <v>1</v>
      </c>
      <c r="F45" s="10"/>
      <c r="G45" s="305" t="s">
        <v>345</v>
      </c>
      <c r="H45" s="289">
        <v>3</v>
      </c>
      <c r="I45" s="290" t="str">
        <f t="shared" si="10"/>
        <v/>
      </c>
      <c r="J45" s="220" t="str">
        <f t="shared" si="11"/>
        <v/>
      </c>
      <c r="K45" s="220" t="str">
        <f t="shared" si="12"/>
        <v/>
      </c>
      <c r="L45" s="220" t="str">
        <f t="shared" si="13"/>
        <v/>
      </c>
      <c r="M45" s="220">
        <f t="shared" si="14"/>
        <v>5</v>
      </c>
      <c r="N45" s="220" t="str">
        <f t="shared" si="15"/>
        <v/>
      </c>
      <c r="O45" s="290">
        <f t="shared" si="16"/>
        <v>5</v>
      </c>
      <c r="P45" s="296"/>
      <c r="Q45" s="275" t="str">
        <f t="shared" si="17"/>
        <v>01</v>
      </c>
      <c r="R45" s="306" t="str">
        <f t="shared" si="18"/>
        <v>A.5.01</v>
      </c>
    </row>
    <row r="46" spans="1:18" ht="90" x14ac:dyDescent="0.25">
      <c r="A46" s="10">
        <v>44</v>
      </c>
      <c r="B46" s="297" t="str">
        <f t="shared" si="9"/>
        <v/>
      </c>
      <c r="C46" s="304"/>
      <c r="D46" s="10"/>
      <c r="E46" s="10"/>
      <c r="F46" s="10" t="s">
        <v>143</v>
      </c>
      <c r="G46" s="305" t="s">
        <v>327</v>
      </c>
      <c r="I46" s="290" t="str">
        <f t="shared" si="10"/>
        <v/>
      </c>
      <c r="J46" s="220" t="str">
        <f t="shared" si="11"/>
        <v/>
      </c>
      <c r="K46" s="220">
        <f t="shared" si="12"/>
        <v>3</v>
      </c>
      <c r="L46" s="220" t="str">
        <f t="shared" si="13"/>
        <v/>
      </c>
      <c r="M46" s="220" t="str">
        <f t="shared" si="14"/>
        <v/>
      </c>
      <c r="N46" s="220" t="str">
        <f t="shared" si="15"/>
        <v/>
      </c>
      <c r="O46" s="290">
        <f t="shared" si="16"/>
        <v>3</v>
      </c>
      <c r="P46" s="296"/>
      <c r="Q46" s="275" t="str">
        <f t="shared" si="17"/>
        <v/>
      </c>
      <c r="R46" s="306" t="str">
        <f t="shared" si="18"/>
        <v/>
      </c>
    </row>
    <row r="47" spans="1:18" ht="30" x14ac:dyDescent="0.25">
      <c r="A47" s="10">
        <v>45</v>
      </c>
      <c r="B47" s="297" t="str">
        <f t="shared" si="9"/>
        <v>A.5.02</v>
      </c>
      <c r="C47" s="304" t="s">
        <v>96</v>
      </c>
      <c r="D47" s="10">
        <v>5</v>
      </c>
      <c r="E47" s="10">
        <v>2</v>
      </c>
      <c r="F47" s="10"/>
      <c r="G47" s="305" t="s">
        <v>346</v>
      </c>
      <c r="H47" s="289">
        <v>5</v>
      </c>
      <c r="I47" s="290" t="str">
        <f t="shared" si="10"/>
        <v/>
      </c>
      <c r="J47" s="220" t="str">
        <f t="shared" si="11"/>
        <v/>
      </c>
      <c r="K47" s="220" t="str">
        <f t="shared" si="12"/>
        <v/>
      </c>
      <c r="L47" s="220" t="str">
        <f t="shared" si="13"/>
        <v/>
      </c>
      <c r="M47" s="220">
        <f t="shared" si="14"/>
        <v>5</v>
      </c>
      <c r="N47" s="220" t="str">
        <f t="shared" si="15"/>
        <v/>
      </c>
      <c r="O47" s="290">
        <f t="shared" si="16"/>
        <v>5</v>
      </c>
      <c r="P47" s="296"/>
      <c r="Q47" s="275" t="str">
        <f t="shared" si="17"/>
        <v>02</v>
      </c>
      <c r="R47" s="306" t="str">
        <f t="shared" si="18"/>
        <v>A.5.02</v>
      </c>
    </row>
    <row r="48" spans="1:18" ht="45" x14ac:dyDescent="0.25">
      <c r="A48" s="10">
        <v>46</v>
      </c>
      <c r="B48" s="297" t="str">
        <f t="shared" si="9"/>
        <v/>
      </c>
      <c r="C48" s="304"/>
      <c r="D48" s="10"/>
      <c r="E48" s="10"/>
      <c r="F48" s="10" t="s">
        <v>143</v>
      </c>
      <c r="G48" s="305" t="s">
        <v>151</v>
      </c>
      <c r="I48" s="290" t="str">
        <f t="shared" si="10"/>
        <v/>
      </c>
      <c r="J48" s="220" t="str">
        <f t="shared" si="11"/>
        <v/>
      </c>
      <c r="K48" s="220">
        <f t="shared" si="12"/>
        <v>3</v>
      </c>
      <c r="L48" s="220" t="str">
        <f t="shared" si="13"/>
        <v/>
      </c>
      <c r="M48" s="220" t="str">
        <f t="shared" si="14"/>
        <v/>
      </c>
      <c r="N48" s="220" t="str">
        <f t="shared" si="15"/>
        <v/>
      </c>
      <c r="O48" s="290">
        <f t="shared" si="16"/>
        <v>3</v>
      </c>
      <c r="P48" s="296"/>
      <c r="Q48" s="275" t="str">
        <f t="shared" si="17"/>
        <v/>
      </c>
      <c r="R48" s="306" t="str">
        <f t="shared" si="18"/>
        <v/>
      </c>
    </row>
    <row r="49" spans="1:18" x14ac:dyDescent="0.25">
      <c r="A49" s="10">
        <v>47</v>
      </c>
      <c r="B49" s="297" t="str">
        <f t="shared" si="9"/>
        <v>A.5.03</v>
      </c>
      <c r="C49" s="304" t="s">
        <v>96</v>
      </c>
      <c r="D49" s="10">
        <v>5</v>
      </c>
      <c r="E49" s="10">
        <v>3</v>
      </c>
      <c r="F49" s="10"/>
      <c r="G49" s="305" t="s">
        <v>152</v>
      </c>
      <c r="H49" s="289">
        <v>3</v>
      </c>
      <c r="I49" s="290" t="str">
        <f t="shared" si="10"/>
        <v/>
      </c>
      <c r="J49" s="220" t="str">
        <f t="shared" si="11"/>
        <v/>
      </c>
      <c r="K49" s="220" t="str">
        <f t="shared" si="12"/>
        <v/>
      </c>
      <c r="L49" s="220" t="str">
        <f t="shared" si="13"/>
        <v/>
      </c>
      <c r="M49" s="220">
        <f t="shared" si="14"/>
        <v>5</v>
      </c>
      <c r="N49" s="220" t="str">
        <f t="shared" si="15"/>
        <v/>
      </c>
      <c r="O49" s="290">
        <f t="shared" si="16"/>
        <v>5</v>
      </c>
      <c r="P49" s="296"/>
      <c r="Q49" s="275" t="str">
        <f t="shared" si="17"/>
        <v>03</v>
      </c>
      <c r="R49" s="306" t="str">
        <f t="shared" si="18"/>
        <v>A.5.03</v>
      </c>
    </row>
    <row r="50" spans="1:18" ht="60" x14ac:dyDescent="0.25">
      <c r="A50" s="10">
        <v>48</v>
      </c>
      <c r="B50" s="297" t="str">
        <f t="shared" si="9"/>
        <v/>
      </c>
      <c r="C50" s="304"/>
      <c r="D50" s="10"/>
      <c r="E50" s="10"/>
      <c r="F50" s="10" t="s">
        <v>143</v>
      </c>
      <c r="G50" s="305" t="s">
        <v>347</v>
      </c>
      <c r="I50" s="290" t="str">
        <f t="shared" si="10"/>
        <v/>
      </c>
      <c r="J50" s="220" t="str">
        <f t="shared" si="11"/>
        <v/>
      </c>
      <c r="K50" s="220">
        <f t="shared" si="12"/>
        <v>3</v>
      </c>
      <c r="L50" s="220" t="str">
        <f t="shared" si="13"/>
        <v/>
      </c>
      <c r="M50" s="220" t="str">
        <f t="shared" si="14"/>
        <v/>
      </c>
      <c r="N50" s="220" t="str">
        <f t="shared" si="15"/>
        <v/>
      </c>
      <c r="O50" s="290">
        <f t="shared" si="16"/>
        <v>3</v>
      </c>
      <c r="P50" s="296"/>
      <c r="Q50" s="275" t="str">
        <f t="shared" si="17"/>
        <v/>
      </c>
      <c r="R50" s="306" t="str">
        <f t="shared" si="18"/>
        <v/>
      </c>
    </row>
    <row r="51" spans="1:18" x14ac:dyDescent="0.25">
      <c r="A51" s="10">
        <v>49</v>
      </c>
      <c r="B51" s="297" t="str">
        <f t="shared" si="9"/>
        <v>A.5.04</v>
      </c>
      <c r="C51" s="304" t="s">
        <v>96</v>
      </c>
      <c r="D51" s="10">
        <v>5</v>
      </c>
      <c r="E51" s="10">
        <v>4</v>
      </c>
      <c r="F51" s="10"/>
      <c r="G51" s="305" t="s">
        <v>153</v>
      </c>
      <c r="H51" s="289">
        <v>3</v>
      </c>
      <c r="I51" s="290" t="str">
        <f t="shared" si="10"/>
        <v/>
      </c>
      <c r="J51" s="220" t="str">
        <f t="shared" si="11"/>
        <v/>
      </c>
      <c r="K51" s="220" t="str">
        <f t="shared" si="12"/>
        <v/>
      </c>
      <c r="L51" s="220" t="str">
        <f t="shared" si="13"/>
        <v/>
      </c>
      <c r="M51" s="220">
        <f t="shared" si="14"/>
        <v>5</v>
      </c>
      <c r="N51" s="220" t="str">
        <f t="shared" si="15"/>
        <v/>
      </c>
      <c r="O51" s="290">
        <f t="shared" si="16"/>
        <v>5</v>
      </c>
      <c r="P51" s="296"/>
      <c r="Q51" s="275" t="str">
        <f t="shared" si="17"/>
        <v>04</v>
      </c>
      <c r="R51" s="306" t="str">
        <f t="shared" si="18"/>
        <v>A.5.04</v>
      </c>
    </row>
    <row r="52" spans="1:18" ht="75" x14ac:dyDescent="0.25">
      <c r="A52" s="10">
        <v>50</v>
      </c>
      <c r="B52" s="297" t="str">
        <f t="shared" si="9"/>
        <v/>
      </c>
      <c r="C52" s="304"/>
      <c r="D52" s="10"/>
      <c r="E52" s="10"/>
      <c r="F52" s="10" t="s">
        <v>143</v>
      </c>
      <c r="G52" s="305" t="s">
        <v>154</v>
      </c>
      <c r="I52" s="290" t="str">
        <f t="shared" si="10"/>
        <v/>
      </c>
      <c r="J52" s="220" t="str">
        <f t="shared" si="11"/>
        <v/>
      </c>
      <c r="K52" s="220">
        <f t="shared" si="12"/>
        <v>3</v>
      </c>
      <c r="L52" s="220" t="str">
        <f t="shared" si="13"/>
        <v/>
      </c>
      <c r="M52" s="220" t="str">
        <f t="shared" si="14"/>
        <v/>
      </c>
      <c r="N52" s="220" t="str">
        <f t="shared" si="15"/>
        <v/>
      </c>
      <c r="O52" s="290">
        <f t="shared" si="16"/>
        <v>3</v>
      </c>
      <c r="P52" s="296"/>
      <c r="Q52" s="275" t="str">
        <f t="shared" si="17"/>
        <v/>
      </c>
      <c r="R52" s="306" t="str">
        <f t="shared" si="18"/>
        <v/>
      </c>
    </row>
    <row r="53" spans="1:18" ht="30" x14ac:dyDescent="0.25">
      <c r="A53" s="10">
        <v>51</v>
      </c>
      <c r="B53" s="297" t="str">
        <f t="shared" si="9"/>
        <v>A.5.05</v>
      </c>
      <c r="C53" s="304" t="s">
        <v>96</v>
      </c>
      <c r="D53" s="10">
        <v>5</v>
      </c>
      <c r="E53" s="10">
        <v>5</v>
      </c>
      <c r="F53" s="10"/>
      <c r="G53" s="305" t="s">
        <v>155</v>
      </c>
      <c r="H53" s="289">
        <v>3</v>
      </c>
      <c r="I53" s="290" t="str">
        <f t="shared" si="10"/>
        <v/>
      </c>
      <c r="J53" s="220" t="str">
        <f t="shared" si="11"/>
        <v/>
      </c>
      <c r="K53" s="220" t="str">
        <f t="shared" si="12"/>
        <v/>
      </c>
      <c r="L53" s="220" t="str">
        <f t="shared" si="13"/>
        <v/>
      </c>
      <c r="M53" s="220">
        <f t="shared" si="14"/>
        <v>5</v>
      </c>
      <c r="N53" s="220" t="str">
        <f t="shared" si="15"/>
        <v/>
      </c>
      <c r="O53" s="290">
        <f t="shared" si="16"/>
        <v>5</v>
      </c>
      <c r="P53" s="296"/>
      <c r="Q53" s="275" t="str">
        <f t="shared" si="17"/>
        <v>05</v>
      </c>
      <c r="R53" s="306" t="str">
        <f t="shared" si="18"/>
        <v>A.5.05</v>
      </c>
    </row>
    <row r="54" spans="1:18" ht="75" x14ac:dyDescent="0.25">
      <c r="A54" s="10">
        <v>52</v>
      </c>
      <c r="B54" s="297" t="str">
        <f t="shared" si="9"/>
        <v/>
      </c>
      <c r="C54" s="304"/>
      <c r="D54" s="10"/>
      <c r="E54" s="10"/>
      <c r="F54" s="10" t="s">
        <v>143</v>
      </c>
      <c r="G54" s="305" t="s">
        <v>315</v>
      </c>
      <c r="I54" s="290" t="str">
        <f t="shared" si="10"/>
        <v/>
      </c>
      <c r="J54" s="220" t="str">
        <f t="shared" si="11"/>
        <v/>
      </c>
      <c r="K54" s="220">
        <f t="shared" si="12"/>
        <v>3</v>
      </c>
      <c r="L54" s="220" t="str">
        <f t="shared" si="13"/>
        <v/>
      </c>
      <c r="M54" s="220" t="str">
        <f t="shared" si="14"/>
        <v/>
      </c>
      <c r="N54" s="220" t="str">
        <f t="shared" si="15"/>
        <v/>
      </c>
      <c r="O54" s="290">
        <f t="shared" si="16"/>
        <v>3</v>
      </c>
      <c r="P54" s="296"/>
      <c r="Q54" s="275" t="str">
        <f t="shared" si="17"/>
        <v/>
      </c>
      <c r="R54" s="306" t="str">
        <f t="shared" si="18"/>
        <v/>
      </c>
    </row>
    <row r="55" spans="1:18" ht="30" x14ac:dyDescent="0.25">
      <c r="A55" s="10">
        <v>53</v>
      </c>
      <c r="B55" s="297" t="str">
        <f t="shared" si="9"/>
        <v>A.5.06</v>
      </c>
      <c r="C55" s="304" t="s">
        <v>96</v>
      </c>
      <c r="D55" s="10">
        <v>5</v>
      </c>
      <c r="E55" s="10">
        <v>6</v>
      </c>
      <c r="F55" s="10"/>
      <c r="G55" s="305" t="s">
        <v>156</v>
      </c>
      <c r="H55" s="289">
        <v>4</v>
      </c>
      <c r="I55" s="290" t="str">
        <f t="shared" si="10"/>
        <v/>
      </c>
      <c r="J55" s="220" t="str">
        <f t="shared" si="11"/>
        <v/>
      </c>
      <c r="K55" s="220" t="str">
        <f t="shared" si="12"/>
        <v/>
      </c>
      <c r="L55" s="220" t="str">
        <f t="shared" si="13"/>
        <v/>
      </c>
      <c r="M55" s="220">
        <f t="shared" si="14"/>
        <v>5</v>
      </c>
      <c r="N55" s="220" t="str">
        <f t="shared" si="15"/>
        <v/>
      </c>
      <c r="O55" s="290">
        <f t="shared" si="16"/>
        <v>5</v>
      </c>
      <c r="P55" s="296"/>
      <c r="Q55" s="275" t="str">
        <f t="shared" si="17"/>
        <v>06</v>
      </c>
      <c r="R55" s="306" t="str">
        <f t="shared" si="18"/>
        <v>A.5.06</v>
      </c>
    </row>
    <row r="56" spans="1:18" ht="60" x14ac:dyDescent="0.25">
      <c r="A56" s="10">
        <v>54</v>
      </c>
      <c r="B56" s="297" t="str">
        <f t="shared" si="9"/>
        <v/>
      </c>
      <c r="C56" s="304"/>
      <c r="D56" s="10"/>
      <c r="E56" s="10"/>
      <c r="F56" s="10" t="s">
        <v>143</v>
      </c>
      <c r="G56" s="305" t="s">
        <v>348</v>
      </c>
      <c r="I56" s="290" t="str">
        <f t="shared" si="10"/>
        <v/>
      </c>
      <c r="J56" s="220" t="str">
        <f t="shared" si="11"/>
        <v/>
      </c>
      <c r="K56" s="220">
        <f t="shared" si="12"/>
        <v>3</v>
      </c>
      <c r="L56" s="220" t="str">
        <f t="shared" si="13"/>
        <v/>
      </c>
      <c r="M56" s="220" t="str">
        <f t="shared" si="14"/>
        <v/>
      </c>
      <c r="N56" s="220" t="str">
        <f t="shared" si="15"/>
        <v/>
      </c>
      <c r="O56" s="290">
        <f t="shared" si="16"/>
        <v>3</v>
      </c>
      <c r="P56" s="296"/>
      <c r="Q56" s="275" t="str">
        <f t="shared" si="17"/>
        <v/>
      </c>
      <c r="R56" s="306" t="str">
        <f t="shared" si="18"/>
        <v/>
      </c>
    </row>
    <row r="57" spans="1:18" x14ac:dyDescent="0.25">
      <c r="A57" s="10">
        <v>55</v>
      </c>
      <c r="B57" s="297" t="str">
        <f t="shared" si="9"/>
        <v>A.6</v>
      </c>
      <c r="C57" s="304" t="s">
        <v>96</v>
      </c>
      <c r="D57" s="10">
        <v>6</v>
      </c>
      <c r="E57" s="10"/>
      <c r="F57" s="10"/>
      <c r="G57" s="305" t="s">
        <v>254</v>
      </c>
      <c r="I57" s="290" t="str">
        <f t="shared" si="10"/>
        <v/>
      </c>
      <c r="J57" s="220">
        <f t="shared" si="11"/>
        <v>2</v>
      </c>
      <c r="K57" s="220" t="str">
        <f t="shared" si="12"/>
        <v/>
      </c>
      <c r="L57" s="220" t="str">
        <f t="shared" si="13"/>
        <v/>
      </c>
      <c r="M57" s="220" t="str">
        <f t="shared" si="14"/>
        <v/>
      </c>
      <c r="N57" s="220" t="str">
        <f t="shared" si="15"/>
        <v/>
      </c>
      <c r="O57" s="290">
        <f t="shared" si="16"/>
        <v>2</v>
      </c>
      <c r="P57" s="296"/>
      <c r="Q57" s="275" t="str">
        <f t="shared" si="17"/>
        <v/>
      </c>
      <c r="R57" s="306" t="str">
        <f t="shared" si="18"/>
        <v>A.6</v>
      </c>
    </row>
    <row r="58" spans="1:18" ht="30" x14ac:dyDescent="0.25">
      <c r="A58" s="10">
        <v>56</v>
      </c>
      <c r="B58" s="297" t="str">
        <f t="shared" si="9"/>
        <v>A.6.01</v>
      </c>
      <c r="C58" s="304" t="s">
        <v>96</v>
      </c>
      <c r="D58" s="10">
        <v>6</v>
      </c>
      <c r="E58" s="10">
        <v>1</v>
      </c>
      <c r="F58" s="10"/>
      <c r="G58" s="305" t="s">
        <v>157</v>
      </c>
      <c r="H58" s="289">
        <v>1</v>
      </c>
      <c r="I58" s="290" t="str">
        <f t="shared" si="10"/>
        <v/>
      </c>
      <c r="J58" s="220" t="str">
        <f t="shared" si="11"/>
        <v/>
      </c>
      <c r="K58" s="220" t="str">
        <f t="shared" si="12"/>
        <v/>
      </c>
      <c r="L58" s="220" t="str">
        <f t="shared" si="13"/>
        <v/>
      </c>
      <c r="M58" s="220">
        <f t="shared" si="14"/>
        <v>5</v>
      </c>
      <c r="N58" s="220" t="str">
        <f t="shared" si="15"/>
        <v/>
      </c>
      <c r="O58" s="290">
        <f t="shared" si="16"/>
        <v>5</v>
      </c>
      <c r="P58" s="296"/>
      <c r="Q58" s="275" t="str">
        <f t="shared" si="17"/>
        <v>01</v>
      </c>
      <c r="R58" s="306" t="str">
        <f t="shared" si="18"/>
        <v>A.6.01</v>
      </c>
    </row>
    <row r="59" spans="1:18" ht="45" x14ac:dyDescent="0.25">
      <c r="A59" s="10">
        <v>57</v>
      </c>
      <c r="B59" s="297" t="str">
        <f t="shared" si="9"/>
        <v>A.6.02</v>
      </c>
      <c r="C59" s="304" t="s">
        <v>96</v>
      </c>
      <c r="D59" s="10">
        <v>6</v>
      </c>
      <c r="E59" s="10">
        <v>2</v>
      </c>
      <c r="F59" s="10"/>
      <c r="G59" s="305" t="s">
        <v>158</v>
      </c>
      <c r="H59" s="289">
        <v>3</v>
      </c>
      <c r="I59" s="290" t="str">
        <f t="shared" si="10"/>
        <v/>
      </c>
      <c r="J59" s="220" t="str">
        <f t="shared" si="11"/>
        <v/>
      </c>
      <c r="K59" s="220" t="str">
        <f t="shared" si="12"/>
        <v/>
      </c>
      <c r="L59" s="220" t="str">
        <f t="shared" si="13"/>
        <v/>
      </c>
      <c r="M59" s="220">
        <f t="shared" si="14"/>
        <v>5</v>
      </c>
      <c r="N59" s="220" t="str">
        <f t="shared" si="15"/>
        <v/>
      </c>
      <c r="O59" s="290">
        <f t="shared" si="16"/>
        <v>5</v>
      </c>
      <c r="P59" s="296"/>
      <c r="Q59" s="275" t="str">
        <f t="shared" si="17"/>
        <v>02</v>
      </c>
      <c r="R59" s="306" t="str">
        <f t="shared" si="18"/>
        <v>A.6.02</v>
      </c>
    </row>
    <row r="60" spans="1:18" ht="45" x14ac:dyDescent="0.25">
      <c r="A60" s="10">
        <v>58</v>
      </c>
      <c r="B60" s="297" t="str">
        <f t="shared" si="9"/>
        <v>A.6.03</v>
      </c>
      <c r="C60" s="304" t="s">
        <v>96</v>
      </c>
      <c r="D60" s="10">
        <v>6</v>
      </c>
      <c r="E60" s="10">
        <v>3</v>
      </c>
      <c r="F60" s="10"/>
      <c r="G60" s="305" t="s">
        <v>159</v>
      </c>
      <c r="H60" s="289">
        <v>4</v>
      </c>
      <c r="I60" s="290" t="str">
        <f t="shared" si="10"/>
        <v/>
      </c>
      <c r="J60" s="220" t="str">
        <f t="shared" si="11"/>
        <v/>
      </c>
      <c r="K60" s="220" t="str">
        <f t="shared" si="12"/>
        <v/>
      </c>
      <c r="L60" s="220" t="str">
        <f t="shared" si="13"/>
        <v/>
      </c>
      <c r="M60" s="220">
        <f t="shared" si="14"/>
        <v>5</v>
      </c>
      <c r="N60" s="220" t="str">
        <f t="shared" si="15"/>
        <v/>
      </c>
      <c r="O60" s="290">
        <f t="shared" si="16"/>
        <v>5</v>
      </c>
      <c r="P60" s="296"/>
      <c r="Q60" s="275" t="str">
        <f t="shared" si="17"/>
        <v>03</v>
      </c>
      <c r="R60" s="306" t="str">
        <f t="shared" si="18"/>
        <v>A.6.03</v>
      </c>
    </row>
    <row r="61" spans="1:18" ht="60" x14ac:dyDescent="0.25">
      <c r="A61" s="10">
        <v>59</v>
      </c>
      <c r="B61" s="297" t="str">
        <f t="shared" si="9"/>
        <v>A.6.04</v>
      </c>
      <c r="C61" s="304" t="s">
        <v>96</v>
      </c>
      <c r="D61" s="10">
        <v>6</v>
      </c>
      <c r="E61" s="10">
        <v>4</v>
      </c>
      <c r="F61" s="10"/>
      <c r="G61" s="305" t="s">
        <v>160</v>
      </c>
      <c r="H61" s="289">
        <v>5</v>
      </c>
      <c r="I61" s="290" t="str">
        <f t="shared" si="10"/>
        <v/>
      </c>
      <c r="J61" s="220" t="str">
        <f t="shared" si="11"/>
        <v/>
      </c>
      <c r="K61" s="220" t="str">
        <f t="shared" si="12"/>
        <v/>
      </c>
      <c r="L61" s="220" t="str">
        <f t="shared" si="13"/>
        <v/>
      </c>
      <c r="M61" s="220">
        <f t="shared" si="14"/>
        <v>5</v>
      </c>
      <c r="N61" s="220" t="str">
        <f t="shared" si="15"/>
        <v/>
      </c>
      <c r="O61" s="290">
        <f t="shared" si="16"/>
        <v>5</v>
      </c>
      <c r="P61" s="296"/>
      <c r="Q61" s="275" t="str">
        <f t="shared" si="17"/>
        <v>04</v>
      </c>
      <c r="R61" s="306" t="str">
        <f t="shared" si="18"/>
        <v>A.6.04</v>
      </c>
    </row>
    <row r="62" spans="1:18" x14ac:dyDescent="0.25">
      <c r="A62" s="10">
        <v>60</v>
      </c>
      <c r="B62" s="297" t="str">
        <f t="shared" si="9"/>
        <v>A.7</v>
      </c>
      <c r="C62" s="304" t="s">
        <v>96</v>
      </c>
      <c r="D62" s="10">
        <v>7</v>
      </c>
      <c r="E62" s="10"/>
      <c r="F62" s="10"/>
      <c r="G62" s="305" t="s">
        <v>358</v>
      </c>
      <c r="I62" s="290" t="str">
        <f t="shared" si="10"/>
        <v/>
      </c>
      <c r="J62" s="220">
        <f t="shared" si="11"/>
        <v>2</v>
      </c>
      <c r="K62" s="220" t="str">
        <f t="shared" si="12"/>
        <v/>
      </c>
      <c r="L62" s="220" t="str">
        <f t="shared" si="13"/>
        <v/>
      </c>
      <c r="M62" s="220" t="str">
        <f t="shared" si="14"/>
        <v/>
      </c>
      <c r="N62" s="220" t="str">
        <f t="shared" si="15"/>
        <v/>
      </c>
      <c r="O62" s="290">
        <f t="shared" si="16"/>
        <v>2</v>
      </c>
      <c r="P62" s="296"/>
      <c r="Q62" s="275" t="str">
        <f t="shared" si="17"/>
        <v/>
      </c>
      <c r="R62" s="306" t="str">
        <f t="shared" si="18"/>
        <v>A.7</v>
      </c>
    </row>
    <row r="63" spans="1:18" ht="30" x14ac:dyDescent="0.25">
      <c r="A63" s="10">
        <v>61</v>
      </c>
      <c r="B63" s="297" t="str">
        <f t="shared" si="9"/>
        <v>A.7.01</v>
      </c>
      <c r="C63" s="304" t="s">
        <v>96</v>
      </c>
      <c r="D63" s="10">
        <v>7</v>
      </c>
      <c r="E63" s="10">
        <v>1</v>
      </c>
      <c r="F63" s="10"/>
      <c r="G63" s="305" t="s">
        <v>255</v>
      </c>
      <c r="H63" s="289">
        <v>2</v>
      </c>
      <c r="I63" s="290" t="str">
        <f t="shared" si="10"/>
        <v/>
      </c>
      <c r="J63" s="220" t="str">
        <f t="shared" si="11"/>
        <v/>
      </c>
      <c r="K63" s="220" t="str">
        <f t="shared" si="12"/>
        <v/>
      </c>
      <c r="L63" s="220" t="str">
        <f t="shared" si="13"/>
        <v/>
      </c>
      <c r="M63" s="220">
        <f t="shared" si="14"/>
        <v>5</v>
      </c>
      <c r="N63" s="220" t="str">
        <f t="shared" si="15"/>
        <v/>
      </c>
      <c r="O63" s="290">
        <f t="shared" si="16"/>
        <v>5</v>
      </c>
      <c r="P63" s="296"/>
      <c r="Q63" s="275" t="str">
        <f t="shared" si="17"/>
        <v>01</v>
      </c>
      <c r="R63" s="306" t="str">
        <f t="shared" si="18"/>
        <v>A.7.01</v>
      </c>
    </row>
    <row r="64" spans="1:18" ht="60" x14ac:dyDescent="0.25">
      <c r="A64" s="10">
        <v>62</v>
      </c>
      <c r="B64" s="297" t="str">
        <f t="shared" si="9"/>
        <v/>
      </c>
      <c r="C64" s="304"/>
      <c r="D64" s="10"/>
      <c r="E64" s="10"/>
      <c r="F64" s="10" t="s">
        <v>143</v>
      </c>
      <c r="G64" s="305" t="s">
        <v>256</v>
      </c>
      <c r="I64" s="290" t="str">
        <f t="shared" si="10"/>
        <v/>
      </c>
      <c r="J64" s="220" t="str">
        <f t="shared" si="11"/>
        <v/>
      </c>
      <c r="K64" s="220">
        <f t="shared" si="12"/>
        <v>3</v>
      </c>
      <c r="L64" s="220" t="str">
        <f t="shared" si="13"/>
        <v/>
      </c>
      <c r="M64" s="220" t="str">
        <f t="shared" si="14"/>
        <v/>
      </c>
      <c r="N64" s="220" t="str">
        <f t="shared" si="15"/>
        <v/>
      </c>
      <c r="O64" s="290">
        <f t="shared" si="16"/>
        <v>3</v>
      </c>
      <c r="P64" s="296"/>
      <c r="Q64" s="275" t="str">
        <f t="shared" si="17"/>
        <v/>
      </c>
      <c r="R64" s="306" t="str">
        <f t="shared" si="18"/>
        <v/>
      </c>
    </row>
    <row r="65" spans="1:18" x14ac:dyDescent="0.25">
      <c r="A65" s="10">
        <v>63</v>
      </c>
      <c r="B65" s="297" t="str">
        <f t="shared" si="9"/>
        <v>A.7.02</v>
      </c>
      <c r="C65" s="304" t="s">
        <v>96</v>
      </c>
      <c r="D65" s="10">
        <v>7</v>
      </c>
      <c r="E65" s="10">
        <v>2</v>
      </c>
      <c r="F65" s="10"/>
      <c r="G65" s="305" t="s">
        <v>257</v>
      </c>
      <c r="H65" s="289">
        <v>3</v>
      </c>
      <c r="I65" s="290" t="str">
        <f t="shared" si="10"/>
        <v/>
      </c>
      <c r="J65" s="220" t="str">
        <f t="shared" si="11"/>
        <v/>
      </c>
      <c r="K65" s="220" t="str">
        <f t="shared" si="12"/>
        <v/>
      </c>
      <c r="L65" s="220" t="str">
        <f t="shared" si="13"/>
        <v/>
      </c>
      <c r="M65" s="220">
        <f t="shared" si="14"/>
        <v>5</v>
      </c>
      <c r="N65" s="220" t="str">
        <f t="shared" si="15"/>
        <v/>
      </c>
      <c r="O65" s="290">
        <f t="shared" si="16"/>
        <v>5</v>
      </c>
      <c r="P65" s="296"/>
      <c r="Q65" s="275" t="str">
        <f t="shared" si="17"/>
        <v>02</v>
      </c>
      <c r="R65" s="306" t="str">
        <f t="shared" si="18"/>
        <v>A.7.02</v>
      </c>
    </row>
    <row r="66" spans="1:18" ht="105" x14ac:dyDescent="0.25">
      <c r="A66" s="10">
        <v>64</v>
      </c>
      <c r="B66" s="297" t="str">
        <f t="shared" si="9"/>
        <v/>
      </c>
      <c r="C66" s="304"/>
      <c r="D66" s="10"/>
      <c r="E66" s="10"/>
      <c r="F66" s="10" t="s">
        <v>143</v>
      </c>
      <c r="G66" s="305" t="s">
        <v>331</v>
      </c>
      <c r="I66" s="290" t="str">
        <f t="shared" si="10"/>
        <v/>
      </c>
      <c r="J66" s="220" t="str">
        <f t="shared" si="11"/>
        <v/>
      </c>
      <c r="K66" s="220">
        <f t="shared" si="12"/>
        <v>3</v>
      </c>
      <c r="L66" s="220" t="str">
        <f t="shared" si="13"/>
        <v/>
      </c>
      <c r="M66" s="220" t="str">
        <f t="shared" si="14"/>
        <v/>
      </c>
      <c r="N66" s="220" t="str">
        <f t="shared" si="15"/>
        <v/>
      </c>
      <c r="O66" s="290">
        <f t="shared" si="16"/>
        <v>3</v>
      </c>
      <c r="P66" s="296"/>
      <c r="Q66" s="275" t="str">
        <f t="shared" si="17"/>
        <v/>
      </c>
      <c r="R66" s="306" t="str">
        <f t="shared" si="18"/>
        <v/>
      </c>
    </row>
    <row r="67" spans="1:18" x14ac:dyDescent="0.25">
      <c r="A67" s="10">
        <v>65</v>
      </c>
      <c r="B67" s="297" t="str">
        <f t="shared" si="9"/>
        <v>A.7.03</v>
      </c>
      <c r="C67" s="304" t="s">
        <v>96</v>
      </c>
      <c r="D67" s="10">
        <v>7</v>
      </c>
      <c r="E67" s="10">
        <v>3</v>
      </c>
      <c r="F67" s="10"/>
      <c r="G67" s="305" t="s">
        <v>258</v>
      </c>
      <c r="H67" s="289">
        <v>4</v>
      </c>
      <c r="I67" s="290" t="str">
        <f t="shared" si="10"/>
        <v/>
      </c>
      <c r="J67" s="220" t="str">
        <f t="shared" si="11"/>
        <v/>
      </c>
      <c r="K67" s="220" t="str">
        <f t="shared" si="12"/>
        <v/>
      </c>
      <c r="L67" s="220" t="str">
        <f t="shared" si="13"/>
        <v/>
      </c>
      <c r="M67" s="220">
        <f t="shared" si="14"/>
        <v>5</v>
      </c>
      <c r="N67" s="220" t="str">
        <f t="shared" si="15"/>
        <v/>
      </c>
      <c r="O67" s="290">
        <f t="shared" si="16"/>
        <v>5</v>
      </c>
      <c r="P67" s="296"/>
      <c r="Q67" s="275" t="str">
        <f t="shared" si="17"/>
        <v>03</v>
      </c>
      <c r="R67" s="306" t="str">
        <f t="shared" si="18"/>
        <v>A.7.03</v>
      </c>
    </row>
    <row r="68" spans="1:18" ht="135" x14ac:dyDescent="0.25">
      <c r="A68" s="10">
        <v>66</v>
      </c>
      <c r="B68" s="297" t="str">
        <f t="shared" ref="B68:B131" si="19">R68</f>
        <v/>
      </c>
      <c r="C68" s="304"/>
      <c r="D68" s="10"/>
      <c r="E68" s="10"/>
      <c r="F68" s="10" t="s">
        <v>143</v>
      </c>
      <c r="G68" s="305" t="s">
        <v>316</v>
      </c>
      <c r="I68" s="290" t="str">
        <f t="shared" ref="I68:I131" si="20">IF(AND(LEN(C68)=1,LEN(D68)=0),1,"")</f>
        <v/>
      </c>
      <c r="J68" s="220" t="str">
        <f t="shared" ref="J68:J131" si="21">IF(AND(LEN(C68)=1,LEN(D68)=1,LEN(E68)=0,LEN(F68)=0),2,"")</f>
        <v/>
      </c>
      <c r="K68" s="220">
        <f t="shared" ref="K68:K131" si="22">IF(AND(LEN(C68)=0,LEN(E68)=0),3,"")</f>
        <v>3</v>
      </c>
      <c r="L68" s="220" t="str">
        <f t="shared" ref="L68:L131" si="23">IF(AND(LEN(C68)&gt;0,LEN(D68&gt;0),LEN(E68)&gt;0,LEN(F68)=0,H68="N/A"),4,"")</f>
        <v/>
      </c>
      <c r="M68" s="220" t="str">
        <f t="shared" ref="M68:M131" si="24">IF(AND(LEN(C68)&gt;0,LEN(D68&gt;0),LEN(E68)&gt;0,LEN(F68)=0,H68&gt;0,H68&lt;6),5,"")</f>
        <v/>
      </c>
      <c r="N68" s="220" t="str">
        <f t="shared" ref="N68:N131" si="25">IF(AND(LEN(C68)&gt;0,LEN(D68&gt;0),LEN(E68)&gt;0,LEN(F68)&gt;0,H68&gt;0,H68&lt;6),6,"")</f>
        <v/>
      </c>
      <c r="O68" s="290">
        <f t="shared" ref="O68:O131" si="26">SUM(I68:N68)</f>
        <v>3</v>
      </c>
      <c r="P68" s="296"/>
      <c r="Q68" s="275" t="str">
        <f t="shared" ref="Q68:Q131" si="27">IF(LEN(E68)&gt;0,TEXT(E68,"00"),"")</f>
        <v/>
      </c>
      <c r="R68" s="306" t="str">
        <f t="shared" ref="R68:R131" si="28">IF(O68=1,C68,IF(O68=2,C68&amp;"."&amp;D68,IF(O68=3,"",IF(O68=4,C68&amp;"."&amp;D68&amp;"."&amp;Q68,IF(O68=5,C68&amp;"."&amp;D68&amp;"."&amp;Q68,IF(O68=6,C68&amp;"."&amp;D68&amp;"."&amp;Q68&amp;F68,""))))))</f>
        <v/>
      </c>
    </row>
    <row r="69" spans="1:18" ht="75" x14ac:dyDescent="0.25">
      <c r="A69" s="10">
        <v>67</v>
      </c>
      <c r="B69" s="297" t="str">
        <f t="shared" si="19"/>
        <v>A.7.04</v>
      </c>
      <c r="C69" s="304" t="s">
        <v>96</v>
      </c>
      <c r="D69" s="10">
        <v>7</v>
      </c>
      <c r="E69" s="10">
        <v>4</v>
      </c>
      <c r="F69" s="10"/>
      <c r="G69" s="305" t="s">
        <v>259</v>
      </c>
      <c r="H69" s="289">
        <v>5</v>
      </c>
      <c r="I69" s="290" t="str">
        <f t="shared" si="20"/>
        <v/>
      </c>
      <c r="J69" s="220" t="str">
        <f t="shared" si="21"/>
        <v/>
      </c>
      <c r="K69" s="220" t="str">
        <f t="shared" si="22"/>
        <v/>
      </c>
      <c r="L69" s="220" t="str">
        <f t="shared" si="23"/>
        <v/>
      </c>
      <c r="M69" s="220">
        <f t="shared" si="24"/>
        <v>5</v>
      </c>
      <c r="N69" s="220" t="str">
        <f t="shared" si="25"/>
        <v/>
      </c>
      <c r="O69" s="290">
        <f t="shared" si="26"/>
        <v>5</v>
      </c>
      <c r="P69" s="296"/>
      <c r="Q69" s="275" t="str">
        <f t="shared" si="27"/>
        <v>04</v>
      </c>
      <c r="R69" s="306" t="str">
        <f t="shared" si="28"/>
        <v>A.7.04</v>
      </c>
    </row>
    <row r="70" spans="1:18" ht="45" x14ac:dyDescent="0.25">
      <c r="A70" s="10">
        <v>68</v>
      </c>
      <c r="B70" s="297" t="str">
        <f t="shared" si="19"/>
        <v>A.7.05</v>
      </c>
      <c r="C70" s="304" t="s">
        <v>96</v>
      </c>
      <c r="D70" s="10">
        <v>7</v>
      </c>
      <c r="E70" s="10">
        <v>5</v>
      </c>
      <c r="F70" s="10"/>
      <c r="G70" s="305" t="s">
        <v>260</v>
      </c>
      <c r="H70" s="289">
        <v>3</v>
      </c>
      <c r="I70" s="290" t="str">
        <f t="shared" si="20"/>
        <v/>
      </c>
      <c r="J70" s="220" t="str">
        <f t="shared" si="21"/>
        <v/>
      </c>
      <c r="K70" s="220" t="str">
        <f t="shared" si="22"/>
        <v/>
      </c>
      <c r="L70" s="220" t="str">
        <f t="shared" si="23"/>
        <v/>
      </c>
      <c r="M70" s="220">
        <f t="shared" si="24"/>
        <v>5</v>
      </c>
      <c r="N70" s="220" t="str">
        <f t="shared" si="25"/>
        <v/>
      </c>
      <c r="O70" s="290">
        <f t="shared" si="26"/>
        <v>5</v>
      </c>
      <c r="P70" s="296"/>
      <c r="Q70" s="275" t="str">
        <f t="shared" si="27"/>
        <v>05</v>
      </c>
      <c r="R70" s="306" t="str">
        <f t="shared" si="28"/>
        <v>A.7.05</v>
      </c>
    </row>
    <row r="71" spans="1:18" ht="45" x14ac:dyDescent="0.25">
      <c r="A71" s="10">
        <v>69</v>
      </c>
      <c r="B71" s="297" t="str">
        <f t="shared" si="19"/>
        <v>A.7.06</v>
      </c>
      <c r="C71" s="304" t="s">
        <v>96</v>
      </c>
      <c r="D71" s="10">
        <v>7</v>
      </c>
      <c r="E71" s="10">
        <v>6</v>
      </c>
      <c r="F71" s="10"/>
      <c r="G71" s="305" t="s">
        <v>261</v>
      </c>
      <c r="H71" s="289">
        <v>4</v>
      </c>
      <c r="I71" s="290" t="str">
        <f t="shared" si="20"/>
        <v/>
      </c>
      <c r="J71" s="220" t="str">
        <f t="shared" si="21"/>
        <v/>
      </c>
      <c r="K71" s="220" t="str">
        <f t="shared" si="22"/>
        <v/>
      </c>
      <c r="L71" s="220" t="str">
        <f t="shared" si="23"/>
        <v/>
      </c>
      <c r="M71" s="220">
        <f t="shared" si="24"/>
        <v>5</v>
      </c>
      <c r="N71" s="220" t="str">
        <f t="shared" si="25"/>
        <v/>
      </c>
      <c r="O71" s="290">
        <f t="shared" si="26"/>
        <v>5</v>
      </c>
      <c r="P71" s="296"/>
      <c r="Q71" s="275" t="str">
        <f t="shared" si="27"/>
        <v>06</v>
      </c>
      <c r="R71" s="306" t="str">
        <f t="shared" si="28"/>
        <v>A.7.06</v>
      </c>
    </row>
    <row r="72" spans="1:18" ht="30" x14ac:dyDescent="0.25">
      <c r="A72" s="10">
        <v>70</v>
      </c>
      <c r="B72" s="297" t="str">
        <f t="shared" si="19"/>
        <v>A.7.07</v>
      </c>
      <c r="C72" s="304" t="s">
        <v>96</v>
      </c>
      <c r="D72" s="10">
        <v>7</v>
      </c>
      <c r="E72" s="10">
        <v>7</v>
      </c>
      <c r="F72" s="10"/>
      <c r="G72" s="305" t="s">
        <v>262</v>
      </c>
      <c r="H72" s="289">
        <v>3</v>
      </c>
      <c r="I72" s="290" t="str">
        <f t="shared" si="20"/>
        <v/>
      </c>
      <c r="J72" s="220" t="str">
        <f t="shared" si="21"/>
        <v/>
      </c>
      <c r="K72" s="220" t="str">
        <f t="shared" si="22"/>
        <v/>
      </c>
      <c r="L72" s="220" t="str">
        <f t="shared" si="23"/>
        <v/>
      </c>
      <c r="M72" s="220">
        <f t="shared" si="24"/>
        <v>5</v>
      </c>
      <c r="N72" s="220" t="str">
        <f t="shared" si="25"/>
        <v/>
      </c>
      <c r="O72" s="290">
        <f t="shared" si="26"/>
        <v>5</v>
      </c>
      <c r="P72" s="296"/>
      <c r="Q72" s="275" t="str">
        <f t="shared" si="27"/>
        <v>07</v>
      </c>
      <c r="R72" s="306" t="str">
        <f t="shared" si="28"/>
        <v>A.7.07</v>
      </c>
    </row>
    <row r="73" spans="1:18" x14ac:dyDescent="0.25">
      <c r="A73" s="10">
        <v>71</v>
      </c>
      <c r="B73" s="297" t="str">
        <f t="shared" si="19"/>
        <v>B</v>
      </c>
      <c r="C73" s="304" t="s">
        <v>97</v>
      </c>
      <c r="D73" s="10"/>
      <c r="E73" s="10"/>
      <c r="F73" s="10"/>
      <c r="G73" s="305" t="s">
        <v>263</v>
      </c>
      <c r="I73" s="290">
        <f t="shared" si="20"/>
        <v>1</v>
      </c>
      <c r="J73" s="220" t="str">
        <f t="shared" si="21"/>
        <v/>
      </c>
      <c r="K73" s="220" t="str">
        <f t="shared" si="22"/>
        <v/>
      </c>
      <c r="L73" s="220" t="str">
        <f t="shared" si="23"/>
        <v/>
      </c>
      <c r="M73" s="220" t="str">
        <f t="shared" si="24"/>
        <v/>
      </c>
      <c r="N73" s="220" t="str">
        <f t="shared" si="25"/>
        <v/>
      </c>
      <c r="O73" s="290">
        <f t="shared" si="26"/>
        <v>1</v>
      </c>
      <c r="P73" s="296"/>
      <c r="Q73" s="275" t="str">
        <f t="shared" si="27"/>
        <v/>
      </c>
      <c r="R73" s="306" t="str">
        <f t="shared" si="28"/>
        <v>B</v>
      </c>
    </row>
    <row r="74" spans="1:18" x14ac:dyDescent="0.25">
      <c r="A74" s="10">
        <v>72</v>
      </c>
      <c r="B74" s="297" t="str">
        <f t="shared" si="19"/>
        <v>B.1</v>
      </c>
      <c r="C74" s="304" t="s">
        <v>97</v>
      </c>
      <c r="D74" s="10">
        <v>1</v>
      </c>
      <c r="E74" s="10"/>
      <c r="F74" s="10"/>
      <c r="G74" s="305" t="s">
        <v>264</v>
      </c>
      <c r="I74" s="290" t="str">
        <f t="shared" si="20"/>
        <v/>
      </c>
      <c r="J74" s="220">
        <f t="shared" si="21"/>
        <v>2</v>
      </c>
      <c r="K74" s="220" t="str">
        <f t="shared" si="22"/>
        <v/>
      </c>
      <c r="L74" s="220" t="str">
        <f t="shared" si="23"/>
        <v/>
      </c>
      <c r="M74" s="220" t="str">
        <f t="shared" si="24"/>
        <v/>
      </c>
      <c r="N74" s="220" t="str">
        <f t="shared" si="25"/>
        <v/>
      </c>
      <c r="O74" s="290">
        <f t="shared" si="26"/>
        <v>2</v>
      </c>
      <c r="P74" s="296"/>
      <c r="Q74" s="275" t="str">
        <f t="shared" si="27"/>
        <v/>
      </c>
      <c r="R74" s="306" t="str">
        <f t="shared" si="28"/>
        <v>B.1</v>
      </c>
    </row>
    <row r="75" spans="1:18" x14ac:dyDescent="0.25">
      <c r="A75" s="10">
        <v>73</v>
      </c>
      <c r="B75" s="297" t="str">
        <f t="shared" si="19"/>
        <v>B.1.01</v>
      </c>
      <c r="C75" s="304" t="s">
        <v>97</v>
      </c>
      <c r="D75" s="10">
        <v>1</v>
      </c>
      <c r="E75" s="10">
        <v>1</v>
      </c>
      <c r="F75" s="10"/>
      <c r="G75" s="305" t="s">
        <v>161</v>
      </c>
      <c r="H75" s="289">
        <v>1</v>
      </c>
      <c r="I75" s="290" t="str">
        <f t="shared" si="20"/>
        <v/>
      </c>
      <c r="J75" s="220" t="str">
        <f t="shared" si="21"/>
        <v/>
      </c>
      <c r="K75" s="220" t="str">
        <f t="shared" si="22"/>
        <v/>
      </c>
      <c r="L75" s="220" t="str">
        <f t="shared" si="23"/>
        <v/>
      </c>
      <c r="M75" s="220">
        <f t="shared" si="24"/>
        <v>5</v>
      </c>
      <c r="N75" s="220" t="str">
        <f t="shared" si="25"/>
        <v/>
      </c>
      <c r="O75" s="290">
        <f t="shared" si="26"/>
        <v>5</v>
      </c>
      <c r="P75" s="296"/>
      <c r="Q75" s="275" t="str">
        <f t="shared" si="27"/>
        <v>01</v>
      </c>
      <c r="R75" s="306" t="str">
        <f t="shared" si="28"/>
        <v>B.1.01</v>
      </c>
    </row>
    <row r="76" spans="1:18" ht="30" x14ac:dyDescent="0.25">
      <c r="A76" s="10">
        <v>74</v>
      </c>
      <c r="B76" s="297" t="str">
        <f t="shared" si="19"/>
        <v>B.1.02</v>
      </c>
      <c r="C76" s="304" t="s">
        <v>97</v>
      </c>
      <c r="D76" s="10">
        <v>1</v>
      </c>
      <c r="E76" s="10">
        <v>2</v>
      </c>
      <c r="F76" s="10"/>
      <c r="G76" s="305" t="s">
        <v>162</v>
      </c>
      <c r="H76" s="289">
        <v>2</v>
      </c>
      <c r="I76" s="290" t="str">
        <f t="shared" si="20"/>
        <v/>
      </c>
      <c r="J76" s="220" t="str">
        <f t="shared" si="21"/>
        <v/>
      </c>
      <c r="K76" s="220" t="str">
        <f t="shared" si="22"/>
        <v/>
      </c>
      <c r="L76" s="220" t="str">
        <f t="shared" si="23"/>
        <v/>
      </c>
      <c r="M76" s="220">
        <f t="shared" si="24"/>
        <v>5</v>
      </c>
      <c r="N76" s="220" t="str">
        <f t="shared" si="25"/>
        <v/>
      </c>
      <c r="O76" s="290">
        <f t="shared" si="26"/>
        <v>5</v>
      </c>
      <c r="P76" s="296"/>
      <c r="Q76" s="275" t="str">
        <f t="shared" si="27"/>
        <v>02</v>
      </c>
      <c r="R76" s="306" t="str">
        <f t="shared" si="28"/>
        <v>B.1.02</v>
      </c>
    </row>
    <row r="77" spans="1:18" ht="45" x14ac:dyDescent="0.25">
      <c r="A77" s="10">
        <v>75</v>
      </c>
      <c r="B77" s="297" t="str">
        <f t="shared" si="19"/>
        <v>B.1.03</v>
      </c>
      <c r="C77" s="304" t="s">
        <v>97</v>
      </c>
      <c r="D77" s="10">
        <v>1</v>
      </c>
      <c r="E77" s="10">
        <v>3</v>
      </c>
      <c r="F77" s="10"/>
      <c r="G77" s="305" t="s">
        <v>163</v>
      </c>
      <c r="H77" s="289">
        <v>4</v>
      </c>
      <c r="I77" s="290" t="str">
        <f t="shared" si="20"/>
        <v/>
      </c>
      <c r="J77" s="220" t="str">
        <f t="shared" si="21"/>
        <v/>
      </c>
      <c r="K77" s="220" t="str">
        <f t="shared" si="22"/>
        <v/>
      </c>
      <c r="L77" s="220" t="str">
        <f t="shared" si="23"/>
        <v/>
      </c>
      <c r="M77" s="220">
        <f t="shared" si="24"/>
        <v>5</v>
      </c>
      <c r="N77" s="220" t="str">
        <f t="shared" si="25"/>
        <v/>
      </c>
      <c r="O77" s="290">
        <f t="shared" si="26"/>
        <v>5</v>
      </c>
      <c r="P77" s="296"/>
      <c r="Q77" s="275" t="str">
        <f t="shared" si="27"/>
        <v>03</v>
      </c>
      <c r="R77" s="306" t="str">
        <f t="shared" si="28"/>
        <v>B.1.03</v>
      </c>
    </row>
    <row r="78" spans="1:18" ht="60" x14ac:dyDescent="0.25">
      <c r="A78" s="10">
        <v>76</v>
      </c>
      <c r="B78" s="297" t="str">
        <f t="shared" si="19"/>
        <v>B.1.04</v>
      </c>
      <c r="C78" s="304" t="s">
        <v>97</v>
      </c>
      <c r="D78" s="10">
        <v>1</v>
      </c>
      <c r="E78" s="10">
        <v>4</v>
      </c>
      <c r="F78" s="10"/>
      <c r="G78" s="305" t="s">
        <v>332</v>
      </c>
      <c r="H78" s="289">
        <v>5</v>
      </c>
      <c r="I78" s="290" t="str">
        <f t="shared" si="20"/>
        <v/>
      </c>
      <c r="J78" s="220" t="str">
        <f t="shared" si="21"/>
        <v/>
      </c>
      <c r="K78" s="220" t="str">
        <f t="shared" si="22"/>
        <v/>
      </c>
      <c r="L78" s="220" t="str">
        <f t="shared" si="23"/>
        <v/>
      </c>
      <c r="M78" s="220">
        <f t="shared" si="24"/>
        <v>5</v>
      </c>
      <c r="N78" s="220" t="str">
        <f t="shared" si="25"/>
        <v/>
      </c>
      <c r="O78" s="290">
        <f t="shared" si="26"/>
        <v>5</v>
      </c>
      <c r="P78" s="296"/>
      <c r="Q78" s="275" t="str">
        <f t="shared" si="27"/>
        <v>04</v>
      </c>
      <c r="R78" s="306" t="str">
        <f t="shared" si="28"/>
        <v>B.1.04</v>
      </c>
    </row>
    <row r="79" spans="1:18" ht="45" x14ac:dyDescent="0.25">
      <c r="A79" s="10">
        <v>77</v>
      </c>
      <c r="B79" s="297" t="str">
        <f t="shared" si="19"/>
        <v>B.1.05</v>
      </c>
      <c r="C79" s="304" t="s">
        <v>97</v>
      </c>
      <c r="D79" s="10">
        <v>1</v>
      </c>
      <c r="E79" s="10">
        <v>5</v>
      </c>
      <c r="F79" s="10"/>
      <c r="G79" s="305" t="s">
        <v>265</v>
      </c>
      <c r="H79" s="289">
        <v>5</v>
      </c>
      <c r="I79" s="290" t="str">
        <f t="shared" si="20"/>
        <v/>
      </c>
      <c r="J79" s="220" t="str">
        <f t="shared" si="21"/>
        <v/>
      </c>
      <c r="K79" s="220" t="str">
        <f t="shared" si="22"/>
        <v/>
      </c>
      <c r="L79" s="220" t="str">
        <f t="shared" si="23"/>
        <v/>
      </c>
      <c r="M79" s="220">
        <f t="shared" si="24"/>
        <v>5</v>
      </c>
      <c r="N79" s="220" t="str">
        <f t="shared" si="25"/>
        <v/>
      </c>
      <c r="O79" s="290">
        <f t="shared" si="26"/>
        <v>5</v>
      </c>
      <c r="P79" s="296"/>
      <c r="Q79" s="275" t="str">
        <f t="shared" si="27"/>
        <v>05</v>
      </c>
      <c r="R79" s="306" t="str">
        <f t="shared" si="28"/>
        <v>B.1.05</v>
      </c>
    </row>
    <row r="80" spans="1:18" x14ac:dyDescent="0.25">
      <c r="A80" s="10">
        <v>78</v>
      </c>
      <c r="B80" s="297" t="str">
        <f t="shared" si="19"/>
        <v>B.1.06</v>
      </c>
      <c r="C80" s="304" t="s">
        <v>97</v>
      </c>
      <c r="D80" s="10">
        <v>1</v>
      </c>
      <c r="E80" s="10">
        <v>6</v>
      </c>
      <c r="F80" s="10"/>
      <c r="G80" s="305" t="s">
        <v>100</v>
      </c>
      <c r="H80" s="289">
        <v>5</v>
      </c>
      <c r="I80" s="290" t="str">
        <f t="shared" si="20"/>
        <v/>
      </c>
      <c r="J80" s="220" t="str">
        <f t="shared" si="21"/>
        <v/>
      </c>
      <c r="K80" s="220" t="str">
        <f t="shared" si="22"/>
        <v/>
      </c>
      <c r="L80" s="220" t="str">
        <f t="shared" si="23"/>
        <v/>
      </c>
      <c r="M80" s="220">
        <f t="shared" si="24"/>
        <v>5</v>
      </c>
      <c r="N80" s="220" t="str">
        <f t="shared" si="25"/>
        <v/>
      </c>
      <c r="O80" s="290">
        <f t="shared" si="26"/>
        <v>5</v>
      </c>
      <c r="P80" s="296"/>
      <c r="Q80" s="275" t="str">
        <f t="shared" si="27"/>
        <v>06</v>
      </c>
      <c r="R80" s="306" t="str">
        <f t="shared" si="28"/>
        <v>B.1.06</v>
      </c>
    </row>
    <row r="81" spans="1:18" x14ac:dyDescent="0.25">
      <c r="A81" s="10">
        <v>79</v>
      </c>
      <c r="B81" s="297" t="str">
        <f t="shared" si="19"/>
        <v>B.2</v>
      </c>
      <c r="C81" s="304" t="s">
        <v>97</v>
      </c>
      <c r="D81" s="10">
        <v>2</v>
      </c>
      <c r="E81" s="10"/>
      <c r="F81" s="10"/>
      <c r="G81" s="305" t="s">
        <v>207</v>
      </c>
      <c r="I81" s="290" t="str">
        <f t="shared" si="20"/>
        <v/>
      </c>
      <c r="J81" s="220">
        <f t="shared" si="21"/>
        <v>2</v>
      </c>
      <c r="K81" s="220" t="str">
        <f t="shared" si="22"/>
        <v/>
      </c>
      <c r="L81" s="220" t="str">
        <f t="shared" si="23"/>
        <v/>
      </c>
      <c r="M81" s="220" t="str">
        <f t="shared" si="24"/>
        <v/>
      </c>
      <c r="N81" s="220" t="str">
        <f t="shared" si="25"/>
        <v/>
      </c>
      <c r="O81" s="290">
        <f t="shared" si="26"/>
        <v>2</v>
      </c>
      <c r="P81" s="296"/>
      <c r="Q81" s="275" t="str">
        <f t="shared" si="27"/>
        <v/>
      </c>
      <c r="R81" s="306" t="str">
        <f t="shared" si="28"/>
        <v>B.2</v>
      </c>
    </row>
    <row r="82" spans="1:18" ht="30" x14ac:dyDescent="0.25">
      <c r="A82" s="10">
        <v>80</v>
      </c>
      <c r="B82" s="297" t="str">
        <f t="shared" si="19"/>
        <v>B.2.01</v>
      </c>
      <c r="C82" s="304" t="s">
        <v>97</v>
      </c>
      <c r="D82" s="10">
        <v>2</v>
      </c>
      <c r="E82" s="10">
        <v>1</v>
      </c>
      <c r="F82" s="10"/>
      <c r="G82" s="305" t="s">
        <v>101</v>
      </c>
      <c r="H82" s="289">
        <v>1</v>
      </c>
      <c r="I82" s="290" t="str">
        <f t="shared" si="20"/>
        <v/>
      </c>
      <c r="J82" s="220" t="str">
        <f t="shared" si="21"/>
        <v/>
      </c>
      <c r="K82" s="220" t="str">
        <f t="shared" si="22"/>
        <v/>
      </c>
      <c r="L82" s="220" t="str">
        <f t="shared" si="23"/>
        <v/>
      </c>
      <c r="M82" s="220">
        <f t="shared" si="24"/>
        <v>5</v>
      </c>
      <c r="N82" s="220" t="str">
        <f t="shared" si="25"/>
        <v/>
      </c>
      <c r="O82" s="290">
        <f t="shared" si="26"/>
        <v>5</v>
      </c>
      <c r="P82" s="296"/>
      <c r="Q82" s="275" t="str">
        <f t="shared" si="27"/>
        <v>01</v>
      </c>
      <c r="R82" s="306" t="str">
        <f t="shared" si="28"/>
        <v>B.2.01</v>
      </c>
    </row>
    <row r="83" spans="1:18" ht="75" x14ac:dyDescent="0.25">
      <c r="A83" s="10">
        <v>81</v>
      </c>
      <c r="B83" s="297" t="str">
        <f t="shared" si="19"/>
        <v>B.2.02</v>
      </c>
      <c r="C83" s="304" t="s">
        <v>97</v>
      </c>
      <c r="D83" s="10">
        <v>2</v>
      </c>
      <c r="E83" s="10">
        <v>2</v>
      </c>
      <c r="F83" s="10"/>
      <c r="G83" s="305" t="s">
        <v>102</v>
      </c>
      <c r="H83" s="289">
        <v>5</v>
      </c>
      <c r="I83" s="290" t="str">
        <f t="shared" si="20"/>
        <v/>
      </c>
      <c r="J83" s="220" t="str">
        <f t="shared" si="21"/>
        <v/>
      </c>
      <c r="K83" s="220" t="str">
        <f t="shared" si="22"/>
        <v/>
      </c>
      <c r="L83" s="220" t="str">
        <f t="shared" si="23"/>
        <v/>
      </c>
      <c r="M83" s="220">
        <f t="shared" si="24"/>
        <v>5</v>
      </c>
      <c r="N83" s="220" t="str">
        <f t="shared" si="25"/>
        <v/>
      </c>
      <c r="O83" s="290">
        <f t="shared" si="26"/>
        <v>5</v>
      </c>
      <c r="P83" s="296"/>
      <c r="Q83" s="275" t="str">
        <f t="shared" si="27"/>
        <v>02</v>
      </c>
      <c r="R83" s="306" t="str">
        <f t="shared" si="28"/>
        <v>B.2.02</v>
      </c>
    </row>
    <row r="84" spans="1:18" ht="45" x14ac:dyDescent="0.25">
      <c r="A84" s="10">
        <v>82</v>
      </c>
      <c r="B84" s="297" t="str">
        <f t="shared" si="19"/>
        <v/>
      </c>
      <c r="C84" s="304"/>
      <c r="D84" s="10"/>
      <c r="E84" s="10"/>
      <c r="F84" s="10" t="s">
        <v>143</v>
      </c>
      <c r="G84" s="305" t="s">
        <v>164</v>
      </c>
      <c r="I84" s="290" t="str">
        <f t="shared" si="20"/>
        <v/>
      </c>
      <c r="J84" s="220" t="str">
        <f t="shared" si="21"/>
        <v/>
      </c>
      <c r="K84" s="220">
        <f t="shared" si="22"/>
        <v>3</v>
      </c>
      <c r="L84" s="220" t="str">
        <f t="shared" si="23"/>
        <v/>
      </c>
      <c r="M84" s="220" t="str">
        <f t="shared" si="24"/>
        <v/>
      </c>
      <c r="N84" s="220" t="str">
        <f t="shared" si="25"/>
        <v/>
      </c>
      <c r="O84" s="290">
        <f t="shared" si="26"/>
        <v>3</v>
      </c>
      <c r="P84" s="296"/>
      <c r="Q84" s="275" t="str">
        <f t="shared" si="27"/>
        <v/>
      </c>
      <c r="R84" s="306" t="str">
        <f t="shared" si="28"/>
        <v/>
      </c>
    </row>
    <row r="85" spans="1:18" ht="45" x14ac:dyDescent="0.25">
      <c r="A85" s="10">
        <v>83</v>
      </c>
      <c r="B85" s="297" t="str">
        <f t="shared" si="19"/>
        <v>B.2.03</v>
      </c>
      <c r="C85" s="304" t="s">
        <v>97</v>
      </c>
      <c r="D85" s="10">
        <v>2</v>
      </c>
      <c r="E85" s="10">
        <v>3</v>
      </c>
      <c r="F85" s="10"/>
      <c r="G85" s="305" t="s">
        <v>103</v>
      </c>
      <c r="H85" s="289">
        <v>4</v>
      </c>
      <c r="I85" s="290" t="str">
        <f t="shared" si="20"/>
        <v/>
      </c>
      <c r="J85" s="220" t="str">
        <f t="shared" si="21"/>
        <v/>
      </c>
      <c r="K85" s="220" t="str">
        <f t="shared" si="22"/>
        <v/>
      </c>
      <c r="L85" s="220" t="str">
        <f t="shared" si="23"/>
        <v/>
      </c>
      <c r="M85" s="220">
        <f t="shared" si="24"/>
        <v>5</v>
      </c>
      <c r="N85" s="220" t="str">
        <f t="shared" si="25"/>
        <v/>
      </c>
      <c r="O85" s="290">
        <f t="shared" si="26"/>
        <v>5</v>
      </c>
      <c r="P85" s="296"/>
      <c r="Q85" s="275" t="str">
        <f t="shared" si="27"/>
        <v>03</v>
      </c>
      <c r="R85" s="306" t="str">
        <f t="shared" si="28"/>
        <v>B.2.03</v>
      </c>
    </row>
    <row r="86" spans="1:18" ht="45" x14ac:dyDescent="0.25">
      <c r="A86" s="10">
        <v>84</v>
      </c>
      <c r="B86" s="297" t="str">
        <f t="shared" si="19"/>
        <v/>
      </c>
      <c r="C86" s="304"/>
      <c r="D86" s="10"/>
      <c r="E86" s="10"/>
      <c r="F86" s="10" t="s">
        <v>143</v>
      </c>
      <c r="G86" s="305" t="s">
        <v>165</v>
      </c>
      <c r="I86" s="290" t="str">
        <f t="shared" si="20"/>
        <v/>
      </c>
      <c r="J86" s="220" t="str">
        <f t="shared" si="21"/>
        <v/>
      </c>
      <c r="K86" s="220">
        <f t="shared" si="22"/>
        <v>3</v>
      </c>
      <c r="L86" s="220" t="str">
        <f t="shared" si="23"/>
        <v/>
      </c>
      <c r="M86" s="220" t="str">
        <f t="shared" si="24"/>
        <v/>
      </c>
      <c r="N86" s="220" t="str">
        <f t="shared" si="25"/>
        <v/>
      </c>
      <c r="O86" s="290">
        <f t="shared" si="26"/>
        <v>3</v>
      </c>
      <c r="P86" s="296"/>
      <c r="Q86" s="275" t="str">
        <f t="shared" si="27"/>
        <v/>
      </c>
      <c r="R86" s="306" t="str">
        <f t="shared" si="28"/>
        <v/>
      </c>
    </row>
    <row r="87" spans="1:18" ht="105" x14ac:dyDescent="0.25">
      <c r="A87" s="10">
        <v>85</v>
      </c>
      <c r="B87" s="297" t="str">
        <f t="shared" si="19"/>
        <v>B.2.04</v>
      </c>
      <c r="C87" s="304" t="s">
        <v>97</v>
      </c>
      <c r="D87" s="10">
        <v>2</v>
      </c>
      <c r="E87" s="10">
        <v>4</v>
      </c>
      <c r="F87" s="10"/>
      <c r="G87" s="305" t="s">
        <v>166</v>
      </c>
      <c r="H87" s="289">
        <v>4</v>
      </c>
      <c r="I87" s="290" t="str">
        <f t="shared" si="20"/>
        <v/>
      </c>
      <c r="J87" s="220" t="str">
        <f t="shared" si="21"/>
        <v/>
      </c>
      <c r="K87" s="220" t="str">
        <f t="shared" si="22"/>
        <v/>
      </c>
      <c r="L87" s="220" t="str">
        <f t="shared" si="23"/>
        <v/>
      </c>
      <c r="M87" s="220">
        <f t="shared" si="24"/>
        <v>5</v>
      </c>
      <c r="N87" s="220" t="str">
        <f t="shared" si="25"/>
        <v/>
      </c>
      <c r="O87" s="290">
        <f t="shared" si="26"/>
        <v>5</v>
      </c>
      <c r="P87" s="296"/>
      <c r="Q87" s="275" t="str">
        <f t="shared" si="27"/>
        <v>04</v>
      </c>
      <c r="R87" s="306" t="str">
        <f t="shared" si="28"/>
        <v>B.2.04</v>
      </c>
    </row>
    <row r="88" spans="1:18" ht="60" x14ac:dyDescent="0.25">
      <c r="A88" s="10">
        <v>86</v>
      </c>
      <c r="B88" s="297" t="str">
        <f t="shared" si="19"/>
        <v/>
      </c>
      <c r="C88" s="304"/>
      <c r="D88" s="10"/>
      <c r="E88" s="10"/>
      <c r="F88" s="10" t="s">
        <v>143</v>
      </c>
      <c r="G88" s="305" t="s">
        <v>167</v>
      </c>
      <c r="I88" s="290" t="str">
        <f t="shared" si="20"/>
        <v/>
      </c>
      <c r="J88" s="220" t="str">
        <f t="shared" si="21"/>
        <v/>
      </c>
      <c r="K88" s="220">
        <f t="shared" si="22"/>
        <v>3</v>
      </c>
      <c r="L88" s="220" t="str">
        <f t="shared" si="23"/>
        <v/>
      </c>
      <c r="M88" s="220" t="str">
        <f t="shared" si="24"/>
        <v/>
      </c>
      <c r="N88" s="220" t="str">
        <f t="shared" si="25"/>
        <v/>
      </c>
      <c r="O88" s="290">
        <f t="shared" si="26"/>
        <v>3</v>
      </c>
      <c r="P88" s="296"/>
      <c r="Q88" s="275" t="str">
        <f t="shared" si="27"/>
        <v/>
      </c>
      <c r="R88" s="306" t="str">
        <f t="shared" si="28"/>
        <v/>
      </c>
    </row>
    <row r="89" spans="1:18" ht="60" x14ac:dyDescent="0.25">
      <c r="A89" s="10">
        <v>87</v>
      </c>
      <c r="B89" s="297" t="str">
        <f t="shared" si="19"/>
        <v>B.2.05</v>
      </c>
      <c r="C89" s="304" t="s">
        <v>97</v>
      </c>
      <c r="D89" s="10">
        <v>2</v>
      </c>
      <c r="E89" s="10">
        <v>5</v>
      </c>
      <c r="F89" s="10"/>
      <c r="G89" s="305" t="s">
        <v>104</v>
      </c>
      <c r="H89" s="289">
        <v>4</v>
      </c>
      <c r="I89" s="290" t="str">
        <f t="shared" si="20"/>
        <v/>
      </c>
      <c r="J89" s="220" t="str">
        <f t="shared" si="21"/>
        <v/>
      </c>
      <c r="K89" s="220" t="str">
        <f t="shared" si="22"/>
        <v/>
      </c>
      <c r="L89" s="220" t="str">
        <f t="shared" si="23"/>
        <v/>
      </c>
      <c r="M89" s="220">
        <f t="shared" si="24"/>
        <v>5</v>
      </c>
      <c r="N89" s="220" t="str">
        <f t="shared" si="25"/>
        <v/>
      </c>
      <c r="O89" s="290">
        <f t="shared" si="26"/>
        <v>5</v>
      </c>
      <c r="P89" s="296"/>
      <c r="Q89" s="275" t="str">
        <f t="shared" si="27"/>
        <v>05</v>
      </c>
      <c r="R89" s="306" t="str">
        <f t="shared" si="28"/>
        <v>B.2.05</v>
      </c>
    </row>
    <row r="90" spans="1:18" ht="60" x14ac:dyDescent="0.25">
      <c r="A90" s="10">
        <v>88</v>
      </c>
      <c r="B90" s="297" t="str">
        <f t="shared" si="19"/>
        <v/>
      </c>
      <c r="C90" s="304"/>
      <c r="D90" s="10"/>
      <c r="E90" s="10"/>
      <c r="F90" s="10" t="s">
        <v>143</v>
      </c>
      <c r="G90" s="305" t="s">
        <v>317</v>
      </c>
      <c r="I90" s="290" t="str">
        <f t="shared" si="20"/>
        <v/>
      </c>
      <c r="J90" s="220" t="str">
        <f t="shared" si="21"/>
        <v/>
      </c>
      <c r="K90" s="220">
        <f t="shared" si="22"/>
        <v>3</v>
      </c>
      <c r="L90" s="220" t="str">
        <f t="shared" si="23"/>
        <v/>
      </c>
      <c r="M90" s="220" t="str">
        <f t="shared" si="24"/>
        <v/>
      </c>
      <c r="N90" s="220" t="str">
        <f t="shared" si="25"/>
        <v/>
      </c>
      <c r="O90" s="290">
        <f t="shared" si="26"/>
        <v>3</v>
      </c>
      <c r="P90" s="296"/>
      <c r="Q90" s="275" t="str">
        <f t="shared" si="27"/>
        <v/>
      </c>
      <c r="R90" s="306" t="str">
        <f t="shared" si="28"/>
        <v/>
      </c>
    </row>
    <row r="91" spans="1:18" ht="75" x14ac:dyDescent="0.25">
      <c r="A91" s="10">
        <v>89</v>
      </c>
      <c r="B91" s="297" t="str">
        <f t="shared" si="19"/>
        <v>B.2.06</v>
      </c>
      <c r="C91" s="304" t="s">
        <v>97</v>
      </c>
      <c r="D91" s="10">
        <v>2</v>
      </c>
      <c r="E91" s="10">
        <v>6</v>
      </c>
      <c r="F91" s="10"/>
      <c r="G91" s="305" t="s">
        <v>168</v>
      </c>
      <c r="H91" s="289">
        <v>4</v>
      </c>
      <c r="I91" s="290" t="str">
        <f t="shared" si="20"/>
        <v/>
      </c>
      <c r="J91" s="220" t="str">
        <f t="shared" si="21"/>
        <v/>
      </c>
      <c r="K91" s="220" t="str">
        <f t="shared" si="22"/>
        <v/>
      </c>
      <c r="L91" s="220" t="str">
        <f t="shared" si="23"/>
        <v/>
      </c>
      <c r="M91" s="220">
        <f t="shared" si="24"/>
        <v>5</v>
      </c>
      <c r="N91" s="220" t="str">
        <f t="shared" si="25"/>
        <v/>
      </c>
      <c r="O91" s="290">
        <f t="shared" si="26"/>
        <v>5</v>
      </c>
      <c r="P91" s="296"/>
      <c r="Q91" s="275" t="str">
        <f t="shared" si="27"/>
        <v>06</v>
      </c>
      <c r="R91" s="306" t="str">
        <f t="shared" si="28"/>
        <v>B.2.06</v>
      </c>
    </row>
    <row r="92" spans="1:18" ht="60" x14ac:dyDescent="0.25">
      <c r="A92" s="10">
        <v>90</v>
      </c>
      <c r="B92" s="297" t="str">
        <f t="shared" si="19"/>
        <v/>
      </c>
      <c r="C92" s="304"/>
      <c r="D92" s="10"/>
      <c r="E92" s="10"/>
      <c r="F92" s="10" t="s">
        <v>143</v>
      </c>
      <c r="G92" s="305" t="s">
        <v>318</v>
      </c>
      <c r="I92" s="290" t="str">
        <f t="shared" si="20"/>
        <v/>
      </c>
      <c r="J92" s="220" t="str">
        <f t="shared" si="21"/>
        <v/>
      </c>
      <c r="K92" s="220">
        <f t="shared" si="22"/>
        <v>3</v>
      </c>
      <c r="L92" s="220" t="str">
        <f t="shared" si="23"/>
        <v/>
      </c>
      <c r="M92" s="220" t="str">
        <f t="shared" si="24"/>
        <v/>
      </c>
      <c r="N92" s="220" t="str">
        <f t="shared" si="25"/>
        <v/>
      </c>
      <c r="O92" s="290">
        <f t="shared" si="26"/>
        <v>3</v>
      </c>
      <c r="P92" s="296"/>
      <c r="Q92" s="275" t="str">
        <f t="shared" si="27"/>
        <v/>
      </c>
      <c r="R92" s="306" t="str">
        <f t="shared" si="28"/>
        <v/>
      </c>
    </row>
    <row r="93" spans="1:18" ht="30" x14ac:dyDescent="0.25">
      <c r="A93" s="10">
        <v>91</v>
      </c>
      <c r="B93" s="297" t="str">
        <f t="shared" si="19"/>
        <v>B.2.07</v>
      </c>
      <c r="C93" s="304" t="s">
        <v>97</v>
      </c>
      <c r="D93" s="10">
        <v>2</v>
      </c>
      <c r="E93" s="10">
        <v>7</v>
      </c>
      <c r="F93" s="10"/>
      <c r="G93" s="305" t="s">
        <v>105</v>
      </c>
      <c r="H93" s="289">
        <v>4</v>
      </c>
      <c r="I93" s="290" t="str">
        <f t="shared" si="20"/>
        <v/>
      </c>
      <c r="J93" s="220" t="str">
        <f t="shared" si="21"/>
        <v/>
      </c>
      <c r="K93" s="220" t="str">
        <f t="shared" si="22"/>
        <v/>
      </c>
      <c r="L93" s="220" t="str">
        <f t="shared" si="23"/>
        <v/>
      </c>
      <c r="M93" s="220">
        <f t="shared" si="24"/>
        <v>5</v>
      </c>
      <c r="N93" s="220" t="str">
        <f t="shared" si="25"/>
        <v/>
      </c>
      <c r="O93" s="290">
        <f t="shared" si="26"/>
        <v>5</v>
      </c>
      <c r="P93" s="296"/>
      <c r="Q93" s="275" t="str">
        <f t="shared" si="27"/>
        <v>07</v>
      </c>
      <c r="R93" s="306" t="str">
        <f t="shared" si="28"/>
        <v>B.2.07</v>
      </c>
    </row>
    <row r="94" spans="1:18" ht="90" x14ac:dyDescent="0.25">
      <c r="A94" s="10">
        <v>92</v>
      </c>
      <c r="B94" s="297" t="str">
        <f t="shared" si="19"/>
        <v/>
      </c>
      <c r="C94" s="304"/>
      <c r="D94" s="10"/>
      <c r="E94" s="10"/>
      <c r="F94" s="10" t="s">
        <v>143</v>
      </c>
      <c r="G94" s="305" t="s">
        <v>349</v>
      </c>
      <c r="I94" s="290" t="str">
        <f t="shared" si="20"/>
        <v/>
      </c>
      <c r="J94" s="220" t="str">
        <f t="shared" si="21"/>
        <v/>
      </c>
      <c r="K94" s="220">
        <f t="shared" si="22"/>
        <v>3</v>
      </c>
      <c r="L94" s="220" t="str">
        <f t="shared" si="23"/>
        <v/>
      </c>
      <c r="M94" s="220" t="str">
        <f t="shared" si="24"/>
        <v/>
      </c>
      <c r="N94" s="220" t="str">
        <f t="shared" si="25"/>
        <v/>
      </c>
      <c r="O94" s="290">
        <f t="shared" si="26"/>
        <v>3</v>
      </c>
      <c r="P94" s="296"/>
      <c r="Q94" s="275" t="str">
        <f t="shared" si="27"/>
        <v/>
      </c>
      <c r="R94" s="306" t="str">
        <f t="shared" si="28"/>
        <v/>
      </c>
    </row>
    <row r="95" spans="1:18" ht="30" x14ac:dyDescent="0.25">
      <c r="A95" s="10">
        <v>93</v>
      </c>
      <c r="B95" s="297" t="str">
        <f t="shared" si="19"/>
        <v>B.2.08</v>
      </c>
      <c r="C95" s="304" t="s">
        <v>97</v>
      </c>
      <c r="D95" s="10">
        <v>2</v>
      </c>
      <c r="E95" s="10">
        <v>8</v>
      </c>
      <c r="F95" s="10"/>
      <c r="G95" s="305" t="s">
        <v>266</v>
      </c>
      <c r="H95" s="289">
        <v>5</v>
      </c>
      <c r="I95" s="290" t="str">
        <f t="shared" si="20"/>
        <v/>
      </c>
      <c r="J95" s="220" t="str">
        <f t="shared" si="21"/>
        <v/>
      </c>
      <c r="K95" s="220" t="str">
        <f t="shared" si="22"/>
        <v/>
      </c>
      <c r="L95" s="220" t="str">
        <f t="shared" si="23"/>
        <v/>
      </c>
      <c r="M95" s="220">
        <f t="shared" si="24"/>
        <v>5</v>
      </c>
      <c r="N95" s="220" t="str">
        <f t="shared" si="25"/>
        <v/>
      </c>
      <c r="O95" s="290">
        <f t="shared" si="26"/>
        <v>5</v>
      </c>
      <c r="P95" s="296"/>
      <c r="Q95" s="275" t="str">
        <f t="shared" si="27"/>
        <v>08</v>
      </c>
      <c r="R95" s="306" t="str">
        <f t="shared" si="28"/>
        <v>B.2.08</v>
      </c>
    </row>
    <row r="96" spans="1:18" x14ac:dyDescent="0.25">
      <c r="A96" s="10">
        <v>94</v>
      </c>
      <c r="B96" s="297" t="str">
        <f t="shared" si="19"/>
        <v>B.3</v>
      </c>
      <c r="C96" s="304" t="s">
        <v>97</v>
      </c>
      <c r="D96" s="10">
        <v>3</v>
      </c>
      <c r="E96" s="10"/>
      <c r="F96" s="10"/>
      <c r="G96" s="305" t="s">
        <v>267</v>
      </c>
      <c r="I96" s="290" t="str">
        <f t="shared" si="20"/>
        <v/>
      </c>
      <c r="J96" s="220">
        <f t="shared" si="21"/>
        <v>2</v>
      </c>
      <c r="K96" s="220" t="str">
        <f t="shared" si="22"/>
        <v/>
      </c>
      <c r="L96" s="220" t="str">
        <f t="shared" si="23"/>
        <v/>
      </c>
      <c r="M96" s="220" t="str">
        <f t="shared" si="24"/>
        <v/>
      </c>
      <c r="N96" s="220" t="str">
        <f t="shared" si="25"/>
        <v/>
      </c>
      <c r="O96" s="290">
        <f t="shared" si="26"/>
        <v>2</v>
      </c>
      <c r="P96" s="296"/>
      <c r="Q96" s="275" t="str">
        <f t="shared" si="27"/>
        <v/>
      </c>
      <c r="R96" s="306" t="str">
        <f t="shared" si="28"/>
        <v>B.3</v>
      </c>
    </row>
    <row r="97" spans="1:18" ht="30" x14ac:dyDescent="0.25">
      <c r="A97" s="10">
        <v>95</v>
      </c>
      <c r="B97" s="297" t="str">
        <f t="shared" si="19"/>
        <v>B.3.01</v>
      </c>
      <c r="C97" s="304" t="s">
        <v>97</v>
      </c>
      <c r="D97" s="10">
        <v>3</v>
      </c>
      <c r="E97" s="10">
        <v>1</v>
      </c>
      <c r="F97" s="10"/>
      <c r="G97" s="305" t="s">
        <v>171</v>
      </c>
      <c r="H97" s="289">
        <v>1</v>
      </c>
      <c r="I97" s="290" t="str">
        <f t="shared" si="20"/>
        <v/>
      </c>
      <c r="J97" s="220" t="str">
        <f t="shared" si="21"/>
        <v/>
      </c>
      <c r="K97" s="220" t="str">
        <f t="shared" si="22"/>
        <v/>
      </c>
      <c r="L97" s="220" t="str">
        <f t="shared" si="23"/>
        <v/>
      </c>
      <c r="M97" s="220">
        <f t="shared" si="24"/>
        <v>5</v>
      </c>
      <c r="N97" s="220" t="str">
        <f t="shared" si="25"/>
        <v/>
      </c>
      <c r="O97" s="290">
        <f t="shared" si="26"/>
        <v>5</v>
      </c>
      <c r="P97" s="296"/>
      <c r="Q97" s="275" t="str">
        <f t="shared" si="27"/>
        <v>01</v>
      </c>
      <c r="R97" s="306" t="str">
        <f t="shared" si="28"/>
        <v>B.3.01</v>
      </c>
    </row>
    <row r="98" spans="1:18" ht="30" x14ac:dyDescent="0.25">
      <c r="A98" s="10">
        <v>96</v>
      </c>
      <c r="B98" s="297" t="str">
        <f t="shared" si="19"/>
        <v>B.3.02</v>
      </c>
      <c r="C98" s="304" t="s">
        <v>97</v>
      </c>
      <c r="D98" s="10">
        <v>3</v>
      </c>
      <c r="E98" s="10">
        <v>2</v>
      </c>
      <c r="F98" s="10"/>
      <c r="G98" s="305" t="s">
        <v>268</v>
      </c>
      <c r="H98" s="289">
        <v>2</v>
      </c>
      <c r="I98" s="290" t="str">
        <f t="shared" si="20"/>
        <v/>
      </c>
      <c r="J98" s="220" t="str">
        <f t="shared" si="21"/>
        <v/>
      </c>
      <c r="K98" s="220" t="str">
        <f t="shared" si="22"/>
        <v/>
      </c>
      <c r="L98" s="220" t="str">
        <f t="shared" si="23"/>
        <v/>
      </c>
      <c r="M98" s="220">
        <f t="shared" si="24"/>
        <v>5</v>
      </c>
      <c r="N98" s="220" t="str">
        <f t="shared" si="25"/>
        <v/>
      </c>
      <c r="O98" s="290">
        <f t="shared" si="26"/>
        <v>5</v>
      </c>
      <c r="P98" s="296"/>
      <c r="Q98" s="275" t="str">
        <f t="shared" si="27"/>
        <v>02</v>
      </c>
      <c r="R98" s="306" t="str">
        <f t="shared" si="28"/>
        <v>B.3.02</v>
      </c>
    </row>
    <row r="99" spans="1:18" ht="60" x14ac:dyDescent="0.25">
      <c r="A99" s="10">
        <v>97</v>
      </c>
      <c r="B99" s="297" t="str">
        <f t="shared" si="19"/>
        <v/>
      </c>
      <c r="C99" s="304"/>
      <c r="D99" s="10"/>
      <c r="E99" s="10"/>
      <c r="F99" s="10" t="s">
        <v>143</v>
      </c>
      <c r="G99" s="305" t="s">
        <v>350</v>
      </c>
      <c r="I99" s="290" t="str">
        <f t="shared" si="20"/>
        <v/>
      </c>
      <c r="J99" s="220" t="str">
        <f t="shared" si="21"/>
        <v/>
      </c>
      <c r="K99" s="220">
        <f t="shared" si="22"/>
        <v>3</v>
      </c>
      <c r="L99" s="220" t="str">
        <f t="shared" si="23"/>
        <v/>
      </c>
      <c r="M99" s="220" t="str">
        <f t="shared" si="24"/>
        <v/>
      </c>
      <c r="N99" s="220" t="str">
        <f t="shared" si="25"/>
        <v/>
      </c>
      <c r="O99" s="290">
        <f t="shared" si="26"/>
        <v>3</v>
      </c>
      <c r="P99" s="296"/>
      <c r="Q99" s="275" t="str">
        <f t="shared" si="27"/>
        <v/>
      </c>
      <c r="R99" s="306" t="str">
        <f t="shared" si="28"/>
        <v/>
      </c>
    </row>
    <row r="100" spans="1:18" x14ac:dyDescent="0.25">
      <c r="A100" s="10">
        <v>98</v>
      </c>
      <c r="B100" s="297" t="str">
        <f t="shared" si="19"/>
        <v>B.3.03</v>
      </c>
      <c r="C100" s="304" t="s">
        <v>97</v>
      </c>
      <c r="D100" s="10">
        <v>3</v>
      </c>
      <c r="E100" s="10">
        <v>3</v>
      </c>
      <c r="F100" s="10"/>
      <c r="G100" s="305" t="s">
        <v>106</v>
      </c>
      <c r="H100" s="289">
        <v>3</v>
      </c>
      <c r="I100" s="290" t="str">
        <f t="shared" si="20"/>
        <v/>
      </c>
      <c r="J100" s="220" t="str">
        <f t="shared" si="21"/>
        <v/>
      </c>
      <c r="K100" s="220" t="str">
        <f t="shared" si="22"/>
        <v/>
      </c>
      <c r="L100" s="220" t="str">
        <f t="shared" si="23"/>
        <v/>
      </c>
      <c r="M100" s="220">
        <f t="shared" si="24"/>
        <v>5</v>
      </c>
      <c r="N100" s="220" t="str">
        <f t="shared" si="25"/>
        <v/>
      </c>
      <c r="O100" s="290">
        <f t="shared" si="26"/>
        <v>5</v>
      </c>
      <c r="P100" s="296"/>
      <c r="Q100" s="275" t="str">
        <f t="shared" si="27"/>
        <v>03</v>
      </c>
      <c r="R100" s="306" t="str">
        <f t="shared" si="28"/>
        <v>B.3.03</v>
      </c>
    </row>
    <row r="101" spans="1:18" ht="105" x14ac:dyDescent="0.25">
      <c r="A101" s="10">
        <v>99</v>
      </c>
      <c r="B101" s="297" t="str">
        <f t="shared" si="19"/>
        <v/>
      </c>
      <c r="C101" s="304"/>
      <c r="D101" s="10"/>
      <c r="E101" s="10"/>
      <c r="F101" s="10" t="s">
        <v>143</v>
      </c>
      <c r="G101" s="305" t="s">
        <v>333</v>
      </c>
      <c r="I101" s="290" t="str">
        <f t="shared" si="20"/>
        <v/>
      </c>
      <c r="J101" s="220" t="str">
        <f t="shared" si="21"/>
        <v/>
      </c>
      <c r="K101" s="220">
        <f t="shared" si="22"/>
        <v>3</v>
      </c>
      <c r="L101" s="220" t="str">
        <f t="shared" si="23"/>
        <v/>
      </c>
      <c r="M101" s="220" t="str">
        <f t="shared" si="24"/>
        <v/>
      </c>
      <c r="N101" s="220" t="str">
        <f t="shared" si="25"/>
        <v/>
      </c>
      <c r="O101" s="290">
        <f t="shared" si="26"/>
        <v>3</v>
      </c>
      <c r="P101" s="296"/>
      <c r="Q101" s="275" t="str">
        <f t="shared" si="27"/>
        <v/>
      </c>
      <c r="R101" s="306" t="str">
        <f t="shared" si="28"/>
        <v/>
      </c>
    </row>
    <row r="102" spans="1:18" x14ac:dyDescent="0.25">
      <c r="A102" s="10">
        <v>100</v>
      </c>
      <c r="B102" s="297" t="str">
        <f t="shared" si="19"/>
        <v>B.3.04</v>
      </c>
      <c r="C102" s="304" t="s">
        <v>97</v>
      </c>
      <c r="D102" s="10">
        <v>3</v>
      </c>
      <c r="E102" s="10">
        <v>4</v>
      </c>
      <c r="F102" s="10"/>
      <c r="G102" s="305" t="s">
        <v>172</v>
      </c>
      <c r="H102" s="289">
        <v>3</v>
      </c>
      <c r="I102" s="290" t="str">
        <f t="shared" si="20"/>
        <v/>
      </c>
      <c r="J102" s="220" t="str">
        <f t="shared" si="21"/>
        <v/>
      </c>
      <c r="K102" s="220" t="str">
        <f t="shared" si="22"/>
        <v/>
      </c>
      <c r="L102" s="220" t="str">
        <f t="shared" si="23"/>
        <v/>
      </c>
      <c r="M102" s="220">
        <f t="shared" si="24"/>
        <v>5</v>
      </c>
      <c r="N102" s="220" t="str">
        <f t="shared" si="25"/>
        <v/>
      </c>
      <c r="O102" s="290">
        <f t="shared" si="26"/>
        <v>5</v>
      </c>
      <c r="P102" s="296"/>
      <c r="Q102" s="275" t="str">
        <f t="shared" si="27"/>
        <v>04</v>
      </c>
      <c r="R102" s="306" t="str">
        <f t="shared" si="28"/>
        <v>B.3.04</v>
      </c>
    </row>
    <row r="103" spans="1:18" ht="105" x14ac:dyDescent="0.25">
      <c r="A103" s="10">
        <v>101</v>
      </c>
      <c r="B103" s="297" t="str">
        <f t="shared" si="19"/>
        <v/>
      </c>
      <c r="C103" s="304"/>
      <c r="D103" s="10"/>
      <c r="E103" s="10"/>
      <c r="F103" s="10" t="s">
        <v>143</v>
      </c>
      <c r="G103" s="305" t="s">
        <v>319</v>
      </c>
      <c r="I103" s="290" t="str">
        <f t="shared" si="20"/>
        <v/>
      </c>
      <c r="J103" s="220" t="str">
        <f t="shared" si="21"/>
        <v/>
      </c>
      <c r="K103" s="220">
        <f t="shared" si="22"/>
        <v>3</v>
      </c>
      <c r="L103" s="220" t="str">
        <f t="shared" si="23"/>
        <v/>
      </c>
      <c r="M103" s="220" t="str">
        <f t="shared" si="24"/>
        <v/>
      </c>
      <c r="N103" s="220" t="str">
        <f t="shared" si="25"/>
        <v/>
      </c>
      <c r="O103" s="290">
        <f t="shared" si="26"/>
        <v>3</v>
      </c>
      <c r="P103" s="296"/>
      <c r="Q103" s="275" t="str">
        <f t="shared" si="27"/>
        <v/>
      </c>
      <c r="R103" s="306" t="str">
        <f t="shared" si="28"/>
        <v/>
      </c>
    </row>
    <row r="104" spans="1:18" x14ac:dyDescent="0.25">
      <c r="A104" s="10">
        <v>102</v>
      </c>
      <c r="B104" s="297" t="str">
        <f t="shared" si="19"/>
        <v>B.3.05</v>
      </c>
      <c r="C104" s="304" t="s">
        <v>97</v>
      </c>
      <c r="D104" s="10">
        <v>3</v>
      </c>
      <c r="E104" s="10">
        <v>5</v>
      </c>
      <c r="F104" s="10"/>
      <c r="G104" s="305" t="s">
        <v>173</v>
      </c>
      <c r="H104" s="289">
        <v>5</v>
      </c>
      <c r="I104" s="290" t="str">
        <f t="shared" si="20"/>
        <v/>
      </c>
      <c r="J104" s="220" t="str">
        <f t="shared" si="21"/>
        <v/>
      </c>
      <c r="K104" s="220" t="str">
        <f t="shared" si="22"/>
        <v/>
      </c>
      <c r="L104" s="220" t="str">
        <f t="shared" si="23"/>
        <v/>
      </c>
      <c r="M104" s="220">
        <f t="shared" si="24"/>
        <v>5</v>
      </c>
      <c r="N104" s="220" t="str">
        <f t="shared" si="25"/>
        <v/>
      </c>
      <c r="O104" s="290">
        <f t="shared" si="26"/>
        <v>5</v>
      </c>
      <c r="P104" s="296"/>
      <c r="Q104" s="275" t="str">
        <f t="shared" si="27"/>
        <v>05</v>
      </c>
      <c r="R104" s="306" t="str">
        <f t="shared" si="28"/>
        <v>B.3.05</v>
      </c>
    </row>
    <row r="105" spans="1:18" ht="60" x14ac:dyDescent="0.25">
      <c r="A105" s="10">
        <v>103</v>
      </c>
      <c r="B105" s="297" t="str">
        <f t="shared" si="19"/>
        <v/>
      </c>
      <c r="C105" s="304"/>
      <c r="D105" s="10"/>
      <c r="E105" s="10"/>
      <c r="F105" s="10" t="s">
        <v>143</v>
      </c>
      <c r="G105" s="305" t="s">
        <v>334</v>
      </c>
      <c r="I105" s="290" t="str">
        <f t="shared" si="20"/>
        <v/>
      </c>
      <c r="J105" s="220" t="str">
        <f t="shared" si="21"/>
        <v/>
      </c>
      <c r="K105" s="220">
        <f t="shared" si="22"/>
        <v>3</v>
      </c>
      <c r="L105" s="220" t="str">
        <f t="shared" si="23"/>
        <v/>
      </c>
      <c r="M105" s="220" t="str">
        <f t="shared" si="24"/>
        <v/>
      </c>
      <c r="N105" s="220" t="str">
        <f t="shared" si="25"/>
        <v/>
      </c>
      <c r="O105" s="290">
        <f t="shared" si="26"/>
        <v>3</v>
      </c>
      <c r="P105" s="296"/>
      <c r="Q105" s="275" t="str">
        <f t="shared" si="27"/>
        <v/>
      </c>
      <c r="R105" s="306" t="str">
        <f t="shared" si="28"/>
        <v/>
      </c>
    </row>
    <row r="106" spans="1:18" x14ac:dyDescent="0.25">
      <c r="A106" s="10">
        <v>104</v>
      </c>
      <c r="B106" s="297" t="str">
        <f t="shared" si="19"/>
        <v>B.3.06</v>
      </c>
      <c r="C106" s="304" t="s">
        <v>97</v>
      </c>
      <c r="D106" s="10">
        <v>3</v>
      </c>
      <c r="E106" s="10">
        <v>6</v>
      </c>
      <c r="F106" s="10"/>
      <c r="G106" s="305" t="s">
        <v>107</v>
      </c>
      <c r="H106" s="289">
        <v>3</v>
      </c>
      <c r="I106" s="290" t="str">
        <f t="shared" si="20"/>
        <v/>
      </c>
      <c r="J106" s="220" t="str">
        <f t="shared" si="21"/>
        <v/>
      </c>
      <c r="K106" s="220" t="str">
        <f t="shared" si="22"/>
        <v/>
      </c>
      <c r="L106" s="220" t="str">
        <f t="shared" si="23"/>
        <v/>
      </c>
      <c r="M106" s="220">
        <f t="shared" si="24"/>
        <v>5</v>
      </c>
      <c r="N106" s="220" t="str">
        <f t="shared" si="25"/>
        <v/>
      </c>
      <c r="O106" s="290">
        <f t="shared" si="26"/>
        <v>5</v>
      </c>
      <c r="P106" s="296"/>
      <c r="Q106" s="275" t="str">
        <f t="shared" si="27"/>
        <v>06</v>
      </c>
      <c r="R106" s="306" t="str">
        <f t="shared" si="28"/>
        <v>B.3.06</v>
      </c>
    </row>
    <row r="107" spans="1:18" ht="60" x14ac:dyDescent="0.25">
      <c r="A107" s="10">
        <v>105</v>
      </c>
      <c r="B107" s="297" t="str">
        <f t="shared" si="19"/>
        <v/>
      </c>
      <c r="C107" s="304"/>
      <c r="D107" s="10"/>
      <c r="E107" s="10"/>
      <c r="F107" s="10" t="s">
        <v>143</v>
      </c>
      <c r="G107" s="305" t="s">
        <v>335</v>
      </c>
      <c r="I107" s="290" t="str">
        <f t="shared" si="20"/>
        <v/>
      </c>
      <c r="J107" s="220" t="str">
        <f t="shared" si="21"/>
        <v/>
      </c>
      <c r="K107" s="220">
        <f t="shared" si="22"/>
        <v>3</v>
      </c>
      <c r="L107" s="220" t="str">
        <f t="shared" si="23"/>
        <v/>
      </c>
      <c r="M107" s="220" t="str">
        <f t="shared" si="24"/>
        <v/>
      </c>
      <c r="N107" s="220" t="str">
        <f t="shared" si="25"/>
        <v/>
      </c>
      <c r="O107" s="290">
        <f t="shared" si="26"/>
        <v>3</v>
      </c>
      <c r="P107" s="296"/>
      <c r="Q107" s="275" t="str">
        <f t="shared" si="27"/>
        <v/>
      </c>
      <c r="R107" s="306" t="str">
        <f t="shared" si="28"/>
        <v/>
      </c>
    </row>
    <row r="108" spans="1:18" ht="30" x14ac:dyDescent="0.25">
      <c r="A108" s="10">
        <v>106</v>
      </c>
      <c r="B108" s="297" t="str">
        <f t="shared" si="19"/>
        <v>B.3.07</v>
      </c>
      <c r="C108" s="304" t="s">
        <v>97</v>
      </c>
      <c r="D108" s="10">
        <v>3</v>
      </c>
      <c r="E108" s="10">
        <v>7</v>
      </c>
      <c r="F108" s="10"/>
      <c r="G108" s="305" t="s">
        <v>169</v>
      </c>
      <c r="H108" s="289">
        <v>1</v>
      </c>
      <c r="I108" s="290" t="str">
        <f t="shared" si="20"/>
        <v/>
      </c>
      <c r="J108" s="220" t="str">
        <f t="shared" si="21"/>
        <v/>
      </c>
      <c r="K108" s="220" t="str">
        <f t="shared" si="22"/>
        <v/>
      </c>
      <c r="L108" s="220" t="str">
        <f t="shared" si="23"/>
        <v/>
      </c>
      <c r="M108" s="220">
        <f t="shared" si="24"/>
        <v>5</v>
      </c>
      <c r="N108" s="220" t="str">
        <f t="shared" si="25"/>
        <v/>
      </c>
      <c r="O108" s="290">
        <f t="shared" si="26"/>
        <v>5</v>
      </c>
      <c r="P108" s="296"/>
      <c r="Q108" s="275" t="str">
        <f t="shared" si="27"/>
        <v>07</v>
      </c>
      <c r="R108" s="306" t="str">
        <f t="shared" si="28"/>
        <v>B.3.07</v>
      </c>
    </row>
    <row r="109" spans="1:18" ht="60" x14ac:dyDescent="0.25">
      <c r="A109" s="10">
        <v>107</v>
      </c>
      <c r="B109" s="297" t="str">
        <f t="shared" si="19"/>
        <v>B.3.08</v>
      </c>
      <c r="C109" s="304" t="s">
        <v>97</v>
      </c>
      <c r="D109" s="10">
        <v>3</v>
      </c>
      <c r="E109" s="10">
        <v>8</v>
      </c>
      <c r="F109" s="10"/>
      <c r="G109" s="305" t="s">
        <v>170</v>
      </c>
      <c r="H109" s="289">
        <v>3</v>
      </c>
      <c r="I109" s="290" t="str">
        <f t="shared" si="20"/>
        <v/>
      </c>
      <c r="J109" s="220" t="str">
        <f t="shared" si="21"/>
        <v/>
      </c>
      <c r="K109" s="220" t="str">
        <f t="shared" si="22"/>
        <v/>
      </c>
      <c r="L109" s="220" t="str">
        <f t="shared" si="23"/>
        <v/>
      </c>
      <c r="M109" s="220">
        <f t="shared" si="24"/>
        <v>5</v>
      </c>
      <c r="N109" s="220" t="str">
        <f t="shared" si="25"/>
        <v/>
      </c>
      <c r="O109" s="290">
        <f t="shared" si="26"/>
        <v>5</v>
      </c>
      <c r="P109" s="296"/>
      <c r="Q109" s="275" t="str">
        <f t="shared" si="27"/>
        <v>08</v>
      </c>
      <c r="R109" s="306" t="str">
        <f t="shared" si="28"/>
        <v>B.3.08</v>
      </c>
    </row>
    <row r="110" spans="1:18" x14ac:dyDescent="0.25">
      <c r="A110" s="10">
        <v>108</v>
      </c>
      <c r="B110" s="297" t="str">
        <f t="shared" si="19"/>
        <v>B.4</v>
      </c>
      <c r="C110" s="304" t="s">
        <v>97</v>
      </c>
      <c r="D110" s="10">
        <v>4</v>
      </c>
      <c r="E110" s="10"/>
      <c r="F110" s="10"/>
      <c r="G110" s="305" t="s">
        <v>108</v>
      </c>
      <c r="I110" s="290" t="str">
        <f t="shared" si="20"/>
        <v/>
      </c>
      <c r="J110" s="220">
        <f t="shared" si="21"/>
        <v>2</v>
      </c>
      <c r="K110" s="220" t="str">
        <f t="shared" si="22"/>
        <v/>
      </c>
      <c r="L110" s="220" t="str">
        <f t="shared" si="23"/>
        <v/>
      </c>
      <c r="M110" s="220" t="str">
        <f t="shared" si="24"/>
        <v/>
      </c>
      <c r="N110" s="220" t="str">
        <f t="shared" si="25"/>
        <v/>
      </c>
      <c r="O110" s="290">
        <f t="shared" si="26"/>
        <v>2</v>
      </c>
      <c r="P110" s="296"/>
      <c r="Q110" s="275" t="str">
        <f t="shared" si="27"/>
        <v/>
      </c>
      <c r="R110" s="306" t="str">
        <f t="shared" si="28"/>
        <v>B.4</v>
      </c>
    </row>
    <row r="111" spans="1:18" ht="45" x14ac:dyDescent="0.25">
      <c r="A111" s="10">
        <v>109</v>
      </c>
      <c r="B111" s="297" t="str">
        <f t="shared" si="19"/>
        <v>B.4.01</v>
      </c>
      <c r="C111" s="304" t="s">
        <v>97</v>
      </c>
      <c r="D111" s="10">
        <v>4</v>
      </c>
      <c r="E111" s="10">
        <v>1</v>
      </c>
      <c r="F111" s="10"/>
      <c r="G111" s="305" t="s">
        <v>269</v>
      </c>
      <c r="H111" s="289">
        <v>1</v>
      </c>
      <c r="I111" s="290" t="str">
        <f t="shared" si="20"/>
        <v/>
      </c>
      <c r="J111" s="220" t="str">
        <f t="shared" si="21"/>
        <v/>
      </c>
      <c r="K111" s="220" t="str">
        <f t="shared" si="22"/>
        <v/>
      </c>
      <c r="L111" s="220" t="str">
        <f t="shared" si="23"/>
        <v/>
      </c>
      <c r="M111" s="220">
        <f t="shared" si="24"/>
        <v>5</v>
      </c>
      <c r="N111" s="220" t="str">
        <f t="shared" si="25"/>
        <v/>
      </c>
      <c r="O111" s="290">
        <f t="shared" si="26"/>
        <v>5</v>
      </c>
      <c r="P111" s="296"/>
      <c r="Q111" s="275" t="str">
        <f t="shared" si="27"/>
        <v>01</v>
      </c>
      <c r="R111" s="306" t="str">
        <f t="shared" si="28"/>
        <v>B.4.01</v>
      </c>
    </row>
    <row r="112" spans="1:18" ht="30" x14ac:dyDescent="0.25">
      <c r="A112" s="10">
        <v>110</v>
      </c>
      <c r="B112" s="297" t="str">
        <f t="shared" si="19"/>
        <v>B.4.02</v>
      </c>
      <c r="C112" s="304" t="s">
        <v>97</v>
      </c>
      <c r="D112" s="10">
        <v>4</v>
      </c>
      <c r="E112" s="10">
        <v>2</v>
      </c>
      <c r="F112" s="10"/>
      <c r="G112" s="305" t="s">
        <v>270</v>
      </c>
      <c r="H112" s="289">
        <v>2</v>
      </c>
      <c r="I112" s="290" t="str">
        <f t="shared" si="20"/>
        <v/>
      </c>
      <c r="J112" s="220" t="str">
        <f t="shared" si="21"/>
        <v/>
      </c>
      <c r="K112" s="220" t="str">
        <f t="shared" si="22"/>
        <v/>
      </c>
      <c r="L112" s="220" t="str">
        <f t="shared" si="23"/>
        <v/>
      </c>
      <c r="M112" s="220">
        <f t="shared" si="24"/>
        <v>5</v>
      </c>
      <c r="N112" s="220" t="str">
        <f t="shared" si="25"/>
        <v/>
      </c>
      <c r="O112" s="290">
        <f t="shared" si="26"/>
        <v>5</v>
      </c>
      <c r="P112" s="296"/>
      <c r="Q112" s="275" t="str">
        <f t="shared" si="27"/>
        <v>02</v>
      </c>
      <c r="R112" s="306" t="str">
        <f t="shared" si="28"/>
        <v>B.4.02</v>
      </c>
    </row>
    <row r="113" spans="1:18" ht="45" x14ac:dyDescent="0.25">
      <c r="A113" s="10">
        <v>111</v>
      </c>
      <c r="B113" s="297" t="str">
        <f t="shared" si="19"/>
        <v>B.4.03</v>
      </c>
      <c r="C113" s="304" t="s">
        <v>97</v>
      </c>
      <c r="D113" s="10">
        <v>4</v>
      </c>
      <c r="E113" s="10">
        <v>3</v>
      </c>
      <c r="F113" s="10"/>
      <c r="G113" s="305" t="s">
        <v>328</v>
      </c>
      <c r="H113" s="289">
        <v>5</v>
      </c>
      <c r="I113" s="290" t="str">
        <f t="shared" si="20"/>
        <v/>
      </c>
      <c r="J113" s="220" t="str">
        <f t="shared" si="21"/>
        <v/>
      </c>
      <c r="K113" s="220" t="str">
        <f t="shared" si="22"/>
        <v/>
      </c>
      <c r="L113" s="220" t="str">
        <f t="shared" si="23"/>
        <v/>
      </c>
      <c r="M113" s="220">
        <f t="shared" si="24"/>
        <v>5</v>
      </c>
      <c r="N113" s="220" t="str">
        <f t="shared" si="25"/>
        <v/>
      </c>
      <c r="O113" s="290">
        <f t="shared" si="26"/>
        <v>5</v>
      </c>
      <c r="P113" s="296"/>
      <c r="Q113" s="275" t="str">
        <f t="shared" si="27"/>
        <v>03</v>
      </c>
      <c r="R113" s="306" t="str">
        <f t="shared" si="28"/>
        <v>B.4.03</v>
      </c>
    </row>
    <row r="114" spans="1:18" ht="75" x14ac:dyDescent="0.25">
      <c r="A114" s="10">
        <v>112</v>
      </c>
      <c r="B114" s="297" t="str">
        <f t="shared" si="19"/>
        <v/>
      </c>
      <c r="C114" s="304"/>
      <c r="D114" s="10"/>
      <c r="E114" s="10"/>
      <c r="F114" s="10" t="s">
        <v>143</v>
      </c>
      <c r="G114" s="305" t="s">
        <v>336</v>
      </c>
      <c r="I114" s="290" t="str">
        <f t="shared" si="20"/>
        <v/>
      </c>
      <c r="J114" s="220" t="str">
        <f t="shared" si="21"/>
        <v/>
      </c>
      <c r="K114" s="220">
        <f t="shared" si="22"/>
        <v>3</v>
      </c>
      <c r="L114" s="220" t="str">
        <f t="shared" si="23"/>
        <v/>
      </c>
      <c r="M114" s="220" t="str">
        <f t="shared" si="24"/>
        <v/>
      </c>
      <c r="N114" s="220" t="str">
        <f t="shared" si="25"/>
        <v/>
      </c>
      <c r="O114" s="290">
        <f t="shared" si="26"/>
        <v>3</v>
      </c>
      <c r="P114" s="296"/>
      <c r="Q114" s="275" t="str">
        <f t="shared" si="27"/>
        <v/>
      </c>
      <c r="R114" s="306" t="str">
        <f t="shared" si="28"/>
        <v/>
      </c>
    </row>
    <row r="115" spans="1:18" ht="45" x14ac:dyDescent="0.25">
      <c r="A115" s="10">
        <v>113</v>
      </c>
      <c r="B115" s="297" t="str">
        <f t="shared" si="19"/>
        <v>B.4.04</v>
      </c>
      <c r="C115" s="304" t="s">
        <v>97</v>
      </c>
      <c r="D115" s="10">
        <v>4</v>
      </c>
      <c r="E115" s="10">
        <v>4</v>
      </c>
      <c r="F115" s="10"/>
      <c r="G115" s="305" t="s">
        <v>271</v>
      </c>
      <c r="H115" s="289">
        <v>4</v>
      </c>
      <c r="I115" s="290" t="str">
        <f t="shared" si="20"/>
        <v/>
      </c>
      <c r="J115" s="220" t="str">
        <f t="shared" si="21"/>
        <v/>
      </c>
      <c r="K115" s="220" t="str">
        <f t="shared" si="22"/>
        <v/>
      </c>
      <c r="L115" s="220" t="str">
        <f t="shared" si="23"/>
        <v/>
      </c>
      <c r="M115" s="220">
        <f t="shared" si="24"/>
        <v>5</v>
      </c>
      <c r="N115" s="220" t="str">
        <f t="shared" si="25"/>
        <v/>
      </c>
      <c r="O115" s="290">
        <f t="shared" si="26"/>
        <v>5</v>
      </c>
      <c r="P115" s="296"/>
      <c r="Q115" s="275" t="str">
        <f t="shared" si="27"/>
        <v>04</v>
      </c>
      <c r="R115" s="306" t="str">
        <f t="shared" si="28"/>
        <v>B.4.04</v>
      </c>
    </row>
    <row r="116" spans="1:18" ht="120" x14ac:dyDescent="0.25">
      <c r="A116" s="10">
        <v>114</v>
      </c>
      <c r="B116" s="297" t="str">
        <f t="shared" si="19"/>
        <v/>
      </c>
      <c r="C116" s="304"/>
      <c r="D116" s="10"/>
      <c r="E116" s="10"/>
      <c r="F116" s="10" t="s">
        <v>143</v>
      </c>
      <c r="G116" s="305" t="s">
        <v>337</v>
      </c>
      <c r="I116" s="290" t="str">
        <f t="shared" si="20"/>
        <v/>
      </c>
      <c r="J116" s="220" t="str">
        <f t="shared" si="21"/>
        <v/>
      </c>
      <c r="K116" s="220">
        <f t="shared" si="22"/>
        <v>3</v>
      </c>
      <c r="L116" s="220" t="str">
        <f t="shared" si="23"/>
        <v/>
      </c>
      <c r="M116" s="220" t="str">
        <f t="shared" si="24"/>
        <v/>
      </c>
      <c r="N116" s="220" t="str">
        <f t="shared" si="25"/>
        <v/>
      </c>
      <c r="O116" s="290">
        <f t="shared" si="26"/>
        <v>3</v>
      </c>
      <c r="P116" s="296"/>
      <c r="Q116" s="275" t="str">
        <f t="shared" si="27"/>
        <v/>
      </c>
      <c r="R116" s="306" t="str">
        <f t="shared" si="28"/>
        <v/>
      </c>
    </row>
    <row r="117" spans="1:18" ht="30" x14ac:dyDescent="0.25">
      <c r="A117" s="10">
        <v>115</v>
      </c>
      <c r="B117" s="297" t="str">
        <f t="shared" si="19"/>
        <v>B.4.05</v>
      </c>
      <c r="C117" s="304" t="s">
        <v>97</v>
      </c>
      <c r="D117" s="10">
        <v>4</v>
      </c>
      <c r="E117" s="10">
        <v>5</v>
      </c>
      <c r="F117" s="10"/>
      <c r="G117" s="305" t="s">
        <v>109</v>
      </c>
      <c r="H117" s="289">
        <v>1</v>
      </c>
      <c r="I117" s="290" t="str">
        <f t="shared" si="20"/>
        <v/>
      </c>
      <c r="J117" s="220" t="str">
        <f t="shared" si="21"/>
        <v/>
      </c>
      <c r="K117" s="220" t="str">
        <f t="shared" si="22"/>
        <v/>
      </c>
      <c r="L117" s="220" t="str">
        <f t="shared" si="23"/>
        <v/>
      </c>
      <c r="M117" s="220">
        <f t="shared" si="24"/>
        <v>5</v>
      </c>
      <c r="N117" s="220" t="str">
        <f t="shared" si="25"/>
        <v/>
      </c>
      <c r="O117" s="290">
        <f t="shared" si="26"/>
        <v>5</v>
      </c>
      <c r="P117" s="296"/>
      <c r="Q117" s="275" t="str">
        <f t="shared" si="27"/>
        <v>05</v>
      </c>
      <c r="R117" s="306" t="str">
        <f t="shared" si="28"/>
        <v>B.4.05</v>
      </c>
    </row>
    <row r="118" spans="1:18" ht="45" x14ac:dyDescent="0.25">
      <c r="A118" s="10">
        <v>116</v>
      </c>
      <c r="B118" s="297" t="str">
        <f t="shared" si="19"/>
        <v>B.4.06</v>
      </c>
      <c r="C118" s="304" t="s">
        <v>97</v>
      </c>
      <c r="D118" s="10">
        <v>4</v>
      </c>
      <c r="E118" s="10">
        <v>6</v>
      </c>
      <c r="F118" s="10"/>
      <c r="G118" s="305" t="s">
        <v>174</v>
      </c>
      <c r="H118" s="289">
        <v>5</v>
      </c>
      <c r="I118" s="290" t="str">
        <f t="shared" si="20"/>
        <v/>
      </c>
      <c r="J118" s="220" t="str">
        <f t="shared" si="21"/>
        <v/>
      </c>
      <c r="K118" s="220" t="str">
        <f t="shared" si="22"/>
        <v/>
      </c>
      <c r="L118" s="220" t="str">
        <f t="shared" si="23"/>
        <v/>
      </c>
      <c r="M118" s="220">
        <f t="shared" si="24"/>
        <v>5</v>
      </c>
      <c r="N118" s="220" t="str">
        <f t="shared" si="25"/>
        <v/>
      </c>
      <c r="O118" s="290">
        <f t="shared" si="26"/>
        <v>5</v>
      </c>
      <c r="P118" s="296"/>
      <c r="Q118" s="275" t="str">
        <f t="shared" si="27"/>
        <v>06</v>
      </c>
      <c r="R118" s="306" t="str">
        <f t="shared" si="28"/>
        <v>B.4.06</v>
      </c>
    </row>
    <row r="119" spans="1:18" ht="90" x14ac:dyDescent="0.25">
      <c r="A119" s="10">
        <v>117</v>
      </c>
      <c r="B119" s="297" t="str">
        <f t="shared" si="19"/>
        <v/>
      </c>
      <c r="C119" s="304"/>
      <c r="D119" s="10"/>
      <c r="E119" s="10"/>
      <c r="F119" s="10" t="s">
        <v>143</v>
      </c>
      <c r="G119" s="305" t="s">
        <v>175</v>
      </c>
      <c r="I119" s="290" t="str">
        <f t="shared" si="20"/>
        <v/>
      </c>
      <c r="J119" s="220" t="str">
        <f t="shared" si="21"/>
        <v/>
      </c>
      <c r="K119" s="220">
        <f t="shared" si="22"/>
        <v>3</v>
      </c>
      <c r="L119" s="220" t="str">
        <f t="shared" si="23"/>
        <v/>
      </c>
      <c r="M119" s="220" t="str">
        <f t="shared" si="24"/>
        <v/>
      </c>
      <c r="N119" s="220" t="str">
        <f t="shared" si="25"/>
        <v/>
      </c>
      <c r="O119" s="290">
        <f t="shared" si="26"/>
        <v>3</v>
      </c>
      <c r="P119" s="296"/>
      <c r="Q119" s="275" t="str">
        <f t="shared" si="27"/>
        <v/>
      </c>
      <c r="R119" s="306" t="str">
        <f t="shared" si="28"/>
        <v/>
      </c>
    </row>
    <row r="120" spans="1:18" ht="45" x14ac:dyDescent="0.25">
      <c r="A120" s="10">
        <v>118</v>
      </c>
      <c r="B120" s="297" t="str">
        <f t="shared" si="19"/>
        <v>B.4.07</v>
      </c>
      <c r="C120" s="304" t="s">
        <v>97</v>
      </c>
      <c r="D120" s="10">
        <v>4</v>
      </c>
      <c r="E120" s="10">
        <v>7</v>
      </c>
      <c r="F120" s="10"/>
      <c r="G120" s="305" t="s">
        <v>176</v>
      </c>
      <c r="H120" s="289">
        <v>1</v>
      </c>
      <c r="I120" s="290" t="str">
        <f t="shared" si="20"/>
        <v/>
      </c>
      <c r="J120" s="220" t="str">
        <f t="shared" si="21"/>
        <v/>
      </c>
      <c r="K120" s="220" t="str">
        <f t="shared" si="22"/>
        <v/>
      </c>
      <c r="L120" s="220" t="str">
        <f t="shared" si="23"/>
        <v/>
      </c>
      <c r="M120" s="220">
        <f t="shared" si="24"/>
        <v>5</v>
      </c>
      <c r="N120" s="220" t="str">
        <f t="shared" si="25"/>
        <v/>
      </c>
      <c r="O120" s="290">
        <f t="shared" si="26"/>
        <v>5</v>
      </c>
      <c r="P120" s="296"/>
      <c r="Q120" s="275" t="str">
        <f t="shared" si="27"/>
        <v>07</v>
      </c>
      <c r="R120" s="306" t="str">
        <f t="shared" si="28"/>
        <v>B.4.07</v>
      </c>
    </row>
    <row r="121" spans="1:18" ht="75" x14ac:dyDescent="0.25">
      <c r="A121" s="10">
        <v>119</v>
      </c>
      <c r="B121" s="297" t="str">
        <f t="shared" si="19"/>
        <v/>
      </c>
      <c r="C121" s="304"/>
      <c r="D121" s="10"/>
      <c r="E121" s="10"/>
      <c r="F121" s="10" t="s">
        <v>143</v>
      </c>
      <c r="G121" s="305" t="s">
        <v>338</v>
      </c>
      <c r="I121" s="290" t="str">
        <f t="shared" si="20"/>
        <v/>
      </c>
      <c r="J121" s="220" t="str">
        <f t="shared" si="21"/>
        <v/>
      </c>
      <c r="K121" s="220">
        <f t="shared" si="22"/>
        <v>3</v>
      </c>
      <c r="L121" s="220" t="str">
        <f t="shared" si="23"/>
        <v/>
      </c>
      <c r="M121" s="220" t="str">
        <f t="shared" si="24"/>
        <v/>
      </c>
      <c r="N121" s="220" t="str">
        <f t="shared" si="25"/>
        <v/>
      </c>
      <c r="O121" s="290">
        <f t="shared" si="26"/>
        <v>3</v>
      </c>
      <c r="P121" s="296"/>
      <c r="Q121" s="275" t="str">
        <f t="shared" si="27"/>
        <v/>
      </c>
      <c r="R121" s="306" t="str">
        <f t="shared" si="28"/>
        <v/>
      </c>
    </row>
    <row r="122" spans="1:18" x14ac:dyDescent="0.25">
      <c r="A122" s="10">
        <v>120</v>
      </c>
      <c r="B122" s="297" t="str">
        <f t="shared" si="19"/>
        <v>B.5</v>
      </c>
      <c r="C122" s="304" t="s">
        <v>97</v>
      </c>
      <c r="D122" s="10">
        <v>5</v>
      </c>
      <c r="E122" s="10"/>
      <c r="F122" s="10"/>
      <c r="G122" s="305" t="s">
        <v>272</v>
      </c>
      <c r="I122" s="290" t="str">
        <f t="shared" si="20"/>
        <v/>
      </c>
      <c r="J122" s="220">
        <f t="shared" si="21"/>
        <v>2</v>
      </c>
      <c r="K122" s="220" t="str">
        <f t="shared" si="22"/>
        <v/>
      </c>
      <c r="L122" s="220" t="str">
        <f t="shared" si="23"/>
        <v/>
      </c>
      <c r="M122" s="220" t="str">
        <f t="shared" si="24"/>
        <v/>
      </c>
      <c r="N122" s="220" t="str">
        <f t="shared" si="25"/>
        <v/>
      </c>
      <c r="O122" s="290">
        <f t="shared" si="26"/>
        <v>2</v>
      </c>
      <c r="P122" s="296"/>
      <c r="Q122" s="275" t="str">
        <f t="shared" si="27"/>
        <v/>
      </c>
      <c r="R122" s="306" t="str">
        <f t="shared" si="28"/>
        <v>B.5</v>
      </c>
    </row>
    <row r="123" spans="1:18" ht="60" x14ac:dyDescent="0.25">
      <c r="A123" s="10">
        <v>121</v>
      </c>
      <c r="B123" s="297" t="str">
        <f t="shared" si="19"/>
        <v>B.5.01</v>
      </c>
      <c r="C123" s="304" t="s">
        <v>97</v>
      </c>
      <c r="D123" s="10">
        <v>5</v>
      </c>
      <c r="E123" s="10">
        <v>1</v>
      </c>
      <c r="F123" s="10"/>
      <c r="G123" s="305" t="s">
        <v>339</v>
      </c>
      <c r="H123" s="289">
        <v>1</v>
      </c>
      <c r="I123" s="290" t="str">
        <f t="shared" si="20"/>
        <v/>
      </c>
      <c r="J123" s="220" t="str">
        <f t="shared" si="21"/>
        <v/>
      </c>
      <c r="K123" s="220" t="str">
        <f t="shared" si="22"/>
        <v/>
      </c>
      <c r="L123" s="220" t="str">
        <f t="shared" si="23"/>
        <v/>
      </c>
      <c r="M123" s="220">
        <f t="shared" si="24"/>
        <v>5</v>
      </c>
      <c r="N123" s="220" t="str">
        <f t="shared" si="25"/>
        <v/>
      </c>
      <c r="O123" s="290">
        <f t="shared" si="26"/>
        <v>5</v>
      </c>
      <c r="P123" s="296"/>
      <c r="Q123" s="275" t="str">
        <f t="shared" si="27"/>
        <v>01</v>
      </c>
      <c r="R123" s="306" t="str">
        <f t="shared" si="28"/>
        <v>B.5.01</v>
      </c>
    </row>
    <row r="124" spans="1:18" ht="30" x14ac:dyDescent="0.25">
      <c r="A124" s="10">
        <v>122</v>
      </c>
      <c r="B124" s="297" t="str">
        <f t="shared" si="19"/>
        <v>B.5.02</v>
      </c>
      <c r="C124" s="304" t="s">
        <v>97</v>
      </c>
      <c r="D124" s="10">
        <v>5</v>
      </c>
      <c r="E124" s="10">
        <v>2</v>
      </c>
      <c r="F124" s="10"/>
      <c r="G124" s="305" t="s">
        <v>273</v>
      </c>
      <c r="H124" s="289">
        <v>4</v>
      </c>
      <c r="I124" s="290" t="str">
        <f t="shared" si="20"/>
        <v/>
      </c>
      <c r="J124" s="220" t="str">
        <f t="shared" si="21"/>
        <v/>
      </c>
      <c r="K124" s="220" t="str">
        <f t="shared" si="22"/>
        <v/>
      </c>
      <c r="L124" s="220" t="str">
        <f t="shared" si="23"/>
        <v/>
      </c>
      <c r="M124" s="220">
        <f t="shared" si="24"/>
        <v>5</v>
      </c>
      <c r="N124" s="220" t="str">
        <f t="shared" si="25"/>
        <v/>
      </c>
      <c r="O124" s="290">
        <f t="shared" si="26"/>
        <v>5</v>
      </c>
      <c r="P124" s="296"/>
      <c r="Q124" s="275" t="str">
        <f t="shared" si="27"/>
        <v>02</v>
      </c>
      <c r="R124" s="306" t="str">
        <f t="shared" si="28"/>
        <v>B.5.02</v>
      </c>
    </row>
    <row r="125" spans="1:18" ht="60" x14ac:dyDescent="0.25">
      <c r="A125" s="10">
        <v>123</v>
      </c>
      <c r="B125" s="297" t="str">
        <f t="shared" si="19"/>
        <v/>
      </c>
      <c r="C125" s="304"/>
      <c r="D125" s="10"/>
      <c r="E125" s="10"/>
      <c r="F125" s="10" t="s">
        <v>143</v>
      </c>
      <c r="G125" s="305" t="s">
        <v>320</v>
      </c>
      <c r="I125" s="290" t="str">
        <f t="shared" si="20"/>
        <v/>
      </c>
      <c r="J125" s="220" t="str">
        <f t="shared" si="21"/>
        <v/>
      </c>
      <c r="K125" s="220">
        <f t="shared" si="22"/>
        <v>3</v>
      </c>
      <c r="L125" s="220" t="str">
        <f t="shared" si="23"/>
        <v/>
      </c>
      <c r="M125" s="220" t="str">
        <f t="shared" si="24"/>
        <v/>
      </c>
      <c r="N125" s="220" t="str">
        <f t="shared" si="25"/>
        <v/>
      </c>
      <c r="O125" s="290">
        <f t="shared" si="26"/>
        <v>3</v>
      </c>
      <c r="P125" s="296"/>
      <c r="Q125" s="275" t="str">
        <f t="shared" si="27"/>
        <v/>
      </c>
      <c r="R125" s="306" t="str">
        <f t="shared" si="28"/>
        <v/>
      </c>
    </row>
    <row r="126" spans="1:18" ht="75" x14ac:dyDescent="0.25">
      <c r="A126" s="10">
        <v>124</v>
      </c>
      <c r="B126" s="297" t="str">
        <f t="shared" si="19"/>
        <v>B.5.03</v>
      </c>
      <c r="C126" s="304" t="s">
        <v>97</v>
      </c>
      <c r="D126" s="10">
        <v>5</v>
      </c>
      <c r="E126" s="10">
        <v>3</v>
      </c>
      <c r="F126" s="10"/>
      <c r="G126" s="305" t="s">
        <v>177</v>
      </c>
      <c r="H126" s="289">
        <v>3</v>
      </c>
      <c r="I126" s="290" t="str">
        <f t="shared" si="20"/>
        <v/>
      </c>
      <c r="J126" s="220" t="str">
        <f t="shared" si="21"/>
        <v/>
      </c>
      <c r="K126" s="220" t="str">
        <f t="shared" si="22"/>
        <v/>
      </c>
      <c r="L126" s="220" t="str">
        <f t="shared" si="23"/>
        <v/>
      </c>
      <c r="M126" s="220">
        <f t="shared" si="24"/>
        <v>5</v>
      </c>
      <c r="N126" s="220" t="str">
        <f t="shared" si="25"/>
        <v/>
      </c>
      <c r="O126" s="290">
        <f t="shared" si="26"/>
        <v>5</v>
      </c>
      <c r="P126" s="296"/>
      <c r="Q126" s="275" t="str">
        <f t="shared" si="27"/>
        <v>03</v>
      </c>
      <c r="R126" s="306" t="str">
        <f t="shared" si="28"/>
        <v>B.5.03</v>
      </c>
    </row>
    <row r="127" spans="1:18" ht="60" x14ac:dyDescent="0.25">
      <c r="A127" s="10">
        <v>125</v>
      </c>
      <c r="B127" s="297" t="str">
        <f t="shared" si="19"/>
        <v>B.5.04</v>
      </c>
      <c r="C127" s="304" t="s">
        <v>97</v>
      </c>
      <c r="D127" s="10">
        <v>5</v>
      </c>
      <c r="E127" s="10">
        <v>4</v>
      </c>
      <c r="F127" s="10"/>
      <c r="G127" s="305" t="s">
        <v>178</v>
      </c>
      <c r="H127" s="289">
        <v>3</v>
      </c>
      <c r="I127" s="290" t="str">
        <f t="shared" si="20"/>
        <v/>
      </c>
      <c r="J127" s="220" t="str">
        <f t="shared" si="21"/>
        <v/>
      </c>
      <c r="K127" s="220" t="str">
        <f t="shared" si="22"/>
        <v/>
      </c>
      <c r="L127" s="220" t="str">
        <f t="shared" si="23"/>
        <v/>
      </c>
      <c r="M127" s="220">
        <f t="shared" si="24"/>
        <v>5</v>
      </c>
      <c r="N127" s="220" t="str">
        <f t="shared" si="25"/>
        <v/>
      </c>
      <c r="O127" s="290">
        <f t="shared" si="26"/>
        <v>5</v>
      </c>
      <c r="P127" s="296"/>
      <c r="Q127" s="275" t="str">
        <f t="shared" si="27"/>
        <v>04</v>
      </c>
      <c r="R127" s="306" t="str">
        <f t="shared" si="28"/>
        <v>B.5.04</v>
      </c>
    </row>
    <row r="128" spans="1:18" x14ac:dyDescent="0.25">
      <c r="A128" s="10">
        <v>126</v>
      </c>
      <c r="B128" s="297" t="str">
        <f t="shared" si="19"/>
        <v>B.5.05</v>
      </c>
      <c r="C128" s="304" t="s">
        <v>97</v>
      </c>
      <c r="D128" s="10">
        <v>5</v>
      </c>
      <c r="E128" s="10">
        <v>5</v>
      </c>
      <c r="F128" s="10"/>
      <c r="G128" s="305" t="s">
        <v>110</v>
      </c>
      <c r="H128" s="289">
        <v>2</v>
      </c>
      <c r="I128" s="290" t="str">
        <f t="shared" si="20"/>
        <v/>
      </c>
      <c r="J128" s="220" t="str">
        <f t="shared" si="21"/>
        <v/>
      </c>
      <c r="K128" s="220" t="str">
        <f t="shared" si="22"/>
        <v/>
      </c>
      <c r="L128" s="220" t="str">
        <f t="shared" si="23"/>
        <v/>
      </c>
      <c r="M128" s="220">
        <f t="shared" si="24"/>
        <v>5</v>
      </c>
      <c r="N128" s="220" t="str">
        <f t="shared" si="25"/>
        <v/>
      </c>
      <c r="O128" s="290">
        <f t="shared" si="26"/>
        <v>5</v>
      </c>
      <c r="P128" s="296"/>
      <c r="Q128" s="275" t="str">
        <f t="shared" si="27"/>
        <v>05</v>
      </c>
      <c r="R128" s="306" t="str">
        <f t="shared" si="28"/>
        <v>B.5.05</v>
      </c>
    </row>
    <row r="129" spans="1:22" ht="75" x14ac:dyDescent="0.25">
      <c r="A129" s="10">
        <v>127</v>
      </c>
      <c r="B129" s="297" t="str">
        <f t="shared" si="19"/>
        <v/>
      </c>
      <c r="C129" s="304"/>
      <c r="D129" s="10"/>
      <c r="E129" s="10"/>
      <c r="F129" s="10" t="s">
        <v>143</v>
      </c>
      <c r="G129" s="305" t="s">
        <v>322</v>
      </c>
      <c r="I129" s="290" t="str">
        <f t="shared" si="20"/>
        <v/>
      </c>
      <c r="J129" s="220" t="str">
        <f t="shared" si="21"/>
        <v/>
      </c>
      <c r="K129" s="220">
        <f t="shared" si="22"/>
        <v>3</v>
      </c>
      <c r="L129" s="220" t="str">
        <f t="shared" si="23"/>
        <v/>
      </c>
      <c r="M129" s="220" t="str">
        <f t="shared" si="24"/>
        <v/>
      </c>
      <c r="N129" s="220" t="str">
        <f t="shared" si="25"/>
        <v/>
      </c>
      <c r="O129" s="290">
        <f t="shared" si="26"/>
        <v>3</v>
      </c>
      <c r="P129" s="296"/>
      <c r="Q129" s="275" t="str">
        <f t="shared" si="27"/>
        <v/>
      </c>
      <c r="R129" s="306" t="str">
        <f t="shared" si="28"/>
        <v/>
      </c>
    </row>
    <row r="130" spans="1:22" ht="30" x14ac:dyDescent="0.25">
      <c r="A130" s="10">
        <v>128</v>
      </c>
      <c r="B130" s="297" t="str">
        <f t="shared" si="19"/>
        <v>B.5.06</v>
      </c>
      <c r="C130" s="304" t="s">
        <v>97</v>
      </c>
      <c r="D130" s="10">
        <v>5</v>
      </c>
      <c r="E130" s="10">
        <v>6</v>
      </c>
      <c r="F130" s="10"/>
      <c r="G130" s="305" t="s">
        <v>323</v>
      </c>
      <c r="H130" s="289">
        <v>3</v>
      </c>
      <c r="I130" s="290" t="str">
        <f t="shared" si="20"/>
        <v/>
      </c>
      <c r="J130" s="220" t="str">
        <f t="shared" si="21"/>
        <v/>
      </c>
      <c r="K130" s="220" t="str">
        <f t="shared" si="22"/>
        <v/>
      </c>
      <c r="L130" s="220" t="str">
        <f t="shared" si="23"/>
        <v/>
      </c>
      <c r="M130" s="220">
        <f t="shared" si="24"/>
        <v>5</v>
      </c>
      <c r="N130" s="220" t="str">
        <f t="shared" si="25"/>
        <v/>
      </c>
      <c r="O130" s="290">
        <f t="shared" si="26"/>
        <v>5</v>
      </c>
      <c r="P130" s="296"/>
      <c r="Q130" s="275" t="str">
        <f t="shared" si="27"/>
        <v>06</v>
      </c>
      <c r="R130" s="306" t="str">
        <f t="shared" si="28"/>
        <v>B.5.06</v>
      </c>
    </row>
    <row r="131" spans="1:22" ht="135" x14ac:dyDescent="0.25">
      <c r="A131" s="10">
        <v>129</v>
      </c>
      <c r="B131" s="297" t="str">
        <f t="shared" si="19"/>
        <v/>
      </c>
      <c r="C131" s="304"/>
      <c r="D131" s="10"/>
      <c r="E131" s="10"/>
      <c r="F131" s="10" t="s">
        <v>143</v>
      </c>
      <c r="G131" s="305" t="s">
        <v>340</v>
      </c>
      <c r="I131" s="290" t="str">
        <f t="shared" si="20"/>
        <v/>
      </c>
      <c r="J131" s="220" t="str">
        <f t="shared" si="21"/>
        <v/>
      </c>
      <c r="K131" s="220">
        <f t="shared" si="22"/>
        <v>3</v>
      </c>
      <c r="L131" s="220" t="str">
        <f t="shared" si="23"/>
        <v/>
      </c>
      <c r="M131" s="220" t="str">
        <f t="shared" si="24"/>
        <v/>
      </c>
      <c r="N131" s="220" t="str">
        <f t="shared" si="25"/>
        <v/>
      </c>
      <c r="O131" s="290">
        <f t="shared" si="26"/>
        <v>3</v>
      </c>
      <c r="P131" s="296"/>
      <c r="Q131" s="275" t="str">
        <f t="shared" si="27"/>
        <v/>
      </c>
      <c r="R131" s="306" t="str">
        <f t="shared" si="28"/>
        <v/>
      </c>
      <c r="S131" s="13"/>
      <c r="T131" s="13"/>
      <c r="U131" s="13"/>
      <c r="V131" s="13"/>
    </row>
    <row r="132" spans="1:22" ht="30" x14ac:dyDescent="0.25">
      <c r="A132" s="10">
        <v>130</v>
      </c>
      <c r="B132" s="297" t="str">
        <f t="shared" ref="B132:B191" si="29">R132</f>
        <v>B.5.07</v>
      </c>
      <c r="C132" s="304" t="s">
        <v>97</v>
      </c>
      <c r="D132" s="10">
        <v>5</v>
      </c>
      <c r="E132" s="10">
        <v>7</v>
      </c>
      <c r="F132" s="10"/>
      <c r="G132" s="305" t="s">
        <v>179</v>
      </c>
      <c r="H132" s="289">
        <v>2</v>
      </c>
      <c r="I132" s="290" t="str">
        <f t="shared" ref="I132:I191" si="30">IF(AND(LEN(C132)=1,LEN(D132)=0),1,"")</f>
        <v/>
      </c>
      <c r="J132" s="220" t="str">
        <f t="shared" ref="J132:J191" si="31">IF(AND(LEN(C132)=1,LEN(D132)=1,LEN(E132)=0,LEN(F132)=0),2,"")</f>
        <v/>
      </c>
      <c r="K132" s="220" t="str">
        <f t="shared" ref="K132:K191" si="32">IF(AND(LEN(C132)=0,LEN(E132)=0),3,"")</f>
        <v/>
      </c>
      <c r="L132" s="220" t="str">
        <f t="shared" ref="L132:L191" si="33">IF(AND(LEN(C132)&gt;0,LEN(D132&gt;0),LEN(E132)&gt;0,LEN(F132)=0,H132="N/A"),4,"")</f>
        <v/>
      </c>
      <c r="M132" s="220">
        <f t="shared" ref="M132:M191" si="34">IF(AND(LEN(C132)&gt;0,LEN(D132&gt;0),LEN(E132)&gt;0,LEN(F132)=0,H132&gt;0,H132&lt;6),5,"")</f>
        <v>5</v>
      </c>
      <c r="N132" s="220" t="str">
        <f t="shared" ref="N132:N191" si="35">IF(AND(LEN(C132)&gt;0,LEN(D132&gt;0),LEN(E132)&gt;0,LEN(F132)&gt;0,H132&gt;0,H132&lt;6),6,"")</f>
        <v/>
      </c>
      <c r="O132" s="290">
        <f t="shared" ref="O132:O191" si="36">SUM(I132:N132)</f>
        <v>5</v>
      </c>
      <c r="P132" s="296"/>
      <c r="Q132" s="275" t="str">
        <f t="shared" ref="Q132:Q191" si="37">IF(LEN(E132)&gt;0,TEXT(E132,"00"),"")</f>
        <v>07</v>
      </c>
      <c r="R132" s="306" t="str">
        <f t="shared" ref="R132:R191" si="38">IF(O132=1,C132,IF(O132=2,C132&amp;"."&amp;D132,IF(O132=3,"",IF(O132=4,C132&amp;"."&amp;D132&amp;"."&amp;Q132,IF(O132=5,C132&amp;"."&amp;D132&amp;"."&amp;Q132,IF(O132=6,C132&amp;"."&amp;D132&amp;"."&amp;Q132&amp;F132,""))))))</f>
        <v>B.5.07</v>
      </c>
    </row>
    <row r="133" spans="1:22" x14ac:dyDescent="0.25">
      <c r="A133" s="10">
        <v>135</v>
      </c>
      <c r="B133" s="297" t="str">
        <f t="shared" si="29"/>
        <v>B.6</v>
      </c>
      <c r="C133" s="304" t="s">
        <v>97</v>
      </c>
      <c r="D133" s="10">
        <v>6</v>
      </c>
      <c r="E133" s="10"/>
      <c r="F133" s="10"/>
      <c r="G133" s="305" t="s">
        <v>208</v>
      </c>
      <c r="I133" s="290" t="str">
        <f t="shared" si="30"/>
        <v/>
      </c>
      <c r="J133" s="220">
        <f t="shared" si="31"/>
        <v>2</v>
      </c>
      <c r="K133" s="220" t="str">
        <f t="shared" si="32"/>
        <v/>
      </c>
      <c r="L133" s="220" t="str">
        <f t="shared" si="33"/>
        <v/>
      </c>
      <c r="M133" s="220" t="str">
        <f t="shared" si="34"/>
        <v/>
      </c>
      <c r="N133" s="220" t="str">
        <f t="shared" si="35"/>
        <v/>
      </c>
      <c r="O133" s="290">
        <f t="shared" si="36"/>
        <v>2</v>
      </c>
      <c r="P133" s="296"/>
      <c r="Q133" s="275" t="str">
        <f t="shared" si="37"/>
        <v/>
      </c>
      <c r="R133" s="306" t="str">
        <f t="shared" si="38"/>
        <v>B.6</v>
      </c>
    </row>
    <row r="134" spans="1:22" ht="30" x14ac:dyDescent="0.25">
      <c r="A134" s="10">
        <v>136</v>
      </c>
      <c r="B134" s="297" t="str">
        <f t="shared" si="29"/>
        <v>B.6.01</v>
      </c>
      <c r="C134" s="304" t="s">
        <v>97</v>
      </c>
      <c r="D134" s="10">
        <v>6</v>
      </c>
      <c r="E134" s="10">
        <v>1</v>
      </c>
      <c r="F134" s="10"/>
      <c r="G134" s="305" t="s">
        <v>274</v>
      </c>
      <c r="H134" s="289">
        <v>1</v>
      </c>
      <c r="I134" s="290" t="str">
        <f t="shared" si="30"/>
        <v/>
      </c>
      <c r="J134" s="220" t="str">
        <f t="shared" si="31"/>
        <v/>
      </c>
      <c r="K134" s="220" t="str">
        <f t="shared" si="32"/>
        <v/>
      </c>
      <c r="L134" s="220" t="str">
        <f t="shared" si="33"/>
        <v/>
      </c>
      <c r="M134" s="220">
        <f t="shared" si="34"/>
        <v>5</v>
      </c>
      <c r="N134" s="220" t="str">
        <f t="shared" si="35"/>
        <v/>
      </c>
      <c r="O134" s="290">
        <f t="shared" si="36"/>
        <v>5</v>
      </c>
      <c r="P134" s="296"/>
      <c r="Q134" s="275" t="str">
        <f t="shared" si="37"/>
        <v>01</v>
      </c>
      <c r="R134" s="306" t="str">
        <f t="shared" si="38"/>
        <v>B.6.01</v>
      </c>
    </row>
    <row r="135" spans="1:22" ht="30" x14ac:dyDescent="0.25">
      <c r="A135" s="10">
        <v>137</v>
      </c>
      <c r="B135" s="297" t="str">
        <f t="shared" si="29"/>
        <v>B.6.02</v>
      </c>
      <c r="C135" s="304" t="s">
        <v>97</v>
      </c>
      <c r="D135" s="10">
        <v>6</v>
      </c>
      <c r="E135" s="10">
        <v>2</v>
      </c>
      <c r="F135" s="10"/>
      <c r="G135" s="305" t="s">
        <v>180</v>
      </c>
      <c r="H135" s="289">
        <v>2</v>
      </c>
      <c r="I135" s="290" t="str">
        <f t="shared" si="30"/>
        <v/>
      </c>
      <c r="J135" s="220" t="str">
        <f t="shared" si="31"/>
        <v/>
      </c>
      <c r="K135" s="220" t="str">
        <f t="shared" si="32"/>
        <v/>
      </c>
      <c r="L135" s="220" t="str">
        <f t="shared" si="33"/>
        <v/>
      </c>
      <c r="M135" s="220">
        <f t="shared" si="34"/>
        <v>5</v>
      </c>
      <c r="N135" s="220" t="str">
        <f t="shared" si="35"/>
        <v/>
      </c>
      <c r="O135" s="290">
        <f t="shared" si="36"/>
        <v>5</v>
      </c>
      <c r="P135" s="296"/>
      <c r="Q135" s="275" t="str">
        <f t="shared" si="37"/>
        <v>02</v>
      </c>
      <c r="R135" s="306" t="str">
        <f t="shared" si="38"/>
        <v>B.6.02</v>
      </c>
    </row>
    <row r="136" spans="1:22" ht="45" x14ac:dyDescent="0.25">
      <c r="A136" s="10">
        <v>138</v>
      </c>
      <c r="B136" s="297" t="str">
        <f t="shared" si="29"/>
        <v/>
      </c>
      <c r="C136" s="304"/>
      <c r="D136" s="10"/>
      <c r="E136" s="10"/>
      <c r="F136" s="10" t="s">
        <v>143</v>
      </c>
      <c r="G136" s="305" t="s">
        <v>181</v>
      </c>
      <c r="I136" s="290" t="str">
        <f t="shared" si="30"/>
        <v/>
      </c>
      <c r="J136" s="220" t="str">
        <f t="shared" si="31"/>
        <v/>
      </c>
      <c r="K136" s="220">
        <f t="shared" si="32"/>
        <v>3</v>
      </c>
      <c r="L136" s="220" t="str">
        <f t="shared" si="33"/>
        <v/>
      </c>
      <c r="M136" s="220" t="str">
        <f t="shared" si="34"/>
        <v/>
      </c>
      <c r="N136" s="220" t="str">
        <f t="shared" si="35"/>
        <v/>
      </c>
      <c r="O136" s="290">
        <f t="shared" si="36"/>
        <v>3</v>
      </c>
      <c r="P136" s="296"/>
      <c r="Q136" s="275" t="str">
        <f t="shared" si="37"/>
        <v/>
      </c>
      <c r="R136" s="306" t="str">
        <f t="shared" si="38"/>
        <v/>
      </c>
    </row>
    <row r="137" spans="1:22" ht="45" x14ac:dyDescent="0.25">
      <c r="A137" s="10">
        <v>139</v>
      </c>
      <c r="B137" s="297" t="str">
        <f t="shared" si="29"/>
        <v>B.6.03</v>
      </c>
      <c r="C137" s="304" t="s">
        <v>97</v>
      </c>
      <c r="D137" s="10">
        <v>6</v>
      </c>
      <c r="E137" s="10">
        <v>3</v>
      </c>
      <c r="F137" s="10"/>
      <c r="G137" s="305" t="s">
        <v>329</v>
      </c>
      <c r="H137" s="289">
        <v>3</v>
      </c>
      <c r="I137" s="290" t="str">
        <f t="shared" si="30"/>
        <v/>
      </c>
      <c r="J137" s="220" t="str">
        <f t="shared" si="31"/>
        <v/>
      </c>
      <c r="K137" s="220" t="str">
        <f t="shared" si="32"/>
        <v/>
      </c>
      <c r="L137" s="220" t="str">
        <f t="shared" si="33"/>
        <v/>
      </c>
      <c r="M137" s="220">
        <f t="shared" si="34"/>
        <v>5</v>
      </c>
      <c r="N137" s="220" t="str">
        <f t="shared" si="35"/>
        <v/>
      </c>
      <c r="O137" s="290">
        <f t="shared" si="36"/>
        <v>5</v>
      </c>
      <c r="P137" s="296"/>
      <c r="Q137" s="275" t="str">
        <f t="shared" si="37"/>
        <v>03</v>
      </c>
      <c r="R137" s="306" t="str">
        <f t="shared" si="38"/>
        <v>B.6.03</v>
      </c>
    </row>
    <row r="138" spans="1:22" ht="60" x14ac:dyDescent="0.25">
      <c r="A138" s="10">
        <v>140</v>
      </c>
      <c r="B138" s="297" t="str">
        <f t="shared" si="29"/>
        <v/>
      </c>
      <c r="C138" s="304"/>
      <c r="D138" s="10"/>
      <c r="E138" s="10"/>
      <c r="F138" s="10" t="s">
        <v>143</v>
      </c>
      <c r="G138" s="305" t="s">
        <v>182</v>
      </c>
      <c r="I138" s="290" t="str">
        <f t="shared" si="30"/>
        <v/>
      </c>
      <c r="J138" s="220" t="str">
        <f t="shared" si="31"/>
        <v/>
      </c>
      <c r="K138" s="220">
        <f t="shared" si="32"/>
        <v>3</v>
      </c>
      <c r="L138" s="220" t="str">
        <f t="shared" si="33"/>
        <v/>
      </c>
      <c r="M138" s="220" t="str">
        <f t="shared" si="34"/>
        <v/>
      </c>
      <c r="N138" s="220" t="str">
        <f t="shared" si="35"/>
        <v/>
      </c>
      <c r="O138" s="290">
        <f t="shared" si="36"/>
        <v>3</v>
      </c>
      <c r="P138" s="296"/>
      <c r="Q138" s="275" t="str">
        <f t="shared" si="37"/>
        <v/>
      </c>
      <c r="R138" s="306" t="str">
        <f t="shared" si="38"/>
        <v/>
      </c>
    </row>
    <row r="139" spans="1:22" ht="45" x14ac:dyDescent="0.25">
      <c r="A139" s="10">
        <v>141</v>
      </c>
      <c r="B139" s="297" t="str">
        <f t="shared" si="29"/>
        <v>B.6.04</v>
      </c>
      <c r="C139" s="304" t="s">
        <v>97</v>
      </c>
      <c r="D139" s="10">
        <v>6</v>
      </c>
      <c r="E139" s="10">
        <v>4</v>
      </c>
      <c r="F139" s="10"/>
      <c r="G139" s="305" t="s">
        <v>183</v>
      </c>
      <c r="H139" s="289">
        <v>4</v>
      </c>
      <c r="I139" s="290" t="str">
        <f t="shared" si="30"/>
        <v/>
      </c>
      <c r="J139" s="220" t="str">
        <f t="shared" si="31"/>
        <v/>
      </c>
      <c r="K139" s="220" t="str">
        <f t="shared" si="32"/>
        <v/>
      </c>
      <c r="L139" s="220" t="str">
        <f t="shared" si="33"/>
        <v/>
      </c>
      <c r="M139" s="220">
        <f t="shared" si="34"/>
        <v>5</v>
      </c>
      <c r="N139" s="220" t="str">
        <f t="shared" si="35"/>
        <v/>
      </c>
      <c r="O139" s="290">
        <f t="shared" si="36"/>
        <v>5</v>
      </c>
      <c r="P139" s="296"/>
      <c r="Q139" s="275" t="str">
        <f t="shared" si="37"/>
        <v>04</v>
      </c>
      <c r="R139" s="306" t="str">
        <f t="shared" si="38"/>
        <v>B.6.04</v>
      </c>
    </row>
    <row r="140" spans="1:22" ht="60" x14ac:dyDescent="0.25">
      <c r="A140" s="10">
        <v>142</v>
      </c>
      <c r="B140" s="297" t="str">
        <f t="shared" si="29"/>
        <v/>
      </c>
      <c r="C140" s="304"/>
      <c r="D140" s="10"/>
      <c r="E140" s="10"/>
      <c r="F140" s="10" t="s">
        <v>143</v>
      </c>
      <c r="G140" s="305" t="s">
        <v>184</v>
      </c>
      <c r="I140" s="290" t="str">
        <f t="shared" si="30"/>
        <v/>
      </c>
      <c r="J140" s="220" t="str">
        <f t="shared" si="31"/>
        <v/>
      </c>
      <c r="K140" s="220">
        <f t="shared" si="32"/>
        <v>3</v>
      </c>
      <c r="L140" s="220" t="str">
        <f t="shared" si="33"/>
        <v/>
      </c>
      <c r="M140" s="220" t="str">
        <f t="shared" si="34"/>
        <v/>
      </c>
      <c r="N140" s="220" t="str">
        <f t="shared" si="35"/>
        <v/>
      </c>
      <c r="O140" s="290">
        <f t="shared" si="36"/>
        <v>3</v>
      </c>
      <c r="P140" s="296"/>
      <c r="Q140" s="275" t="str">
        <f t="shared" si="37"/>
        <v/>
      </c>
      <c r="R140" s="306" t="str">
        <f t="shared" si="38"/>
        <v/>
      </c>
    </row>
    <row r="141" spans="1:22" ht="45" x14ac:dyDescent="0.25">
      <c r="A141" s="10">
        <v>143</v>
      </c>
      <c r="B141" s="297" t="str">
        <f t="shared" si="29"/>
        <v>B.6.05</v>
      </c>
      <c r="C141" s="304" t="s">
        <v>97</v>
      </c>
      <c r="D141" s="10">
        <v>6</v>
      </c>
      <c r="E141" s="10">
        <v>5</v>
      </c>
      <c r="F141" s="10"/>
      <c r="G141" s="305" t="s">
        <v>185</v>
      </c>
      <c r="H141" s="289">
        <v>5</v>
      </c>
      <c r="I141" s="290" t="str">
        <f t="shared" si="30"/>
        <v/>
      </c>
      <c r="J141" s="220" t="str">
        <f t="shared" si="31"/>
        <v/>
      </c>
      <c r="K141" s="220" t="str">
        <f t="shared" si="32"/>
        <v/>
      </c>
      <c r="L141" s="220" t="str">
        <f t="shared" si="33"/>
        <v/>
      </c>
      <c r="M141" s="220">
        <f t="shared" si="34"/>
        <v>5</v>
      </c>
      <c r="N141" s="220" t="str">
        <f t="shared" si="35"/>
        <v/>
      </c>
      <c r="O141" s="290">
        <f t="shared" si="36"/>
        <v>5</v>
      </c>
      <c r="P141" s="296"/>
      <c r="Q141" s="275" t="str">
        <f t="shared" si="37"/>
        <v>05</v>
      </c>
      <c r="R141" s="306" t="str">
        <f t="shared" si="38"/>
        <v>B.6.05</v>
      </c>
    </row>
    <row r="142" spans="1:22" x14ac:dyDescent="0.25">
      <c r="A142" s="10">
        <v>144</v>
      </c>
      <c r="B142" s="297" t="str">
        <f t="shared" si="29"/>
        <v>B.7</v>
      </c>
      <c r="C142" s="304" t="s">
        <v>97</v>
      </c>
      <c r="D142" s="10">
        <v>7</v>
      </c>
      <c r="E142" s="10"/>
      <c r="F142" s="10"/>
      <c r="G142" s="305" t="s">
        <v>275</v>
      </c>
      <c r="I142" s="290" t="str">
        <f t="shared" si="30"/>
        <v/>
      </c>
      <c r="J142" s="220">
        <f t="shared" si="31"/>
        <v>2</v>
      </c>
      <c r="K142" s="220" t="str">
        <f t="shared" si="32"/>
        <v/>
      </c>
      <c r="L142" s="220" t="str">
        <f t="shared" si="33"/>
        <v/>
      </c>
      <c r="M142" s="220" t="str">
        <f t="shared" si="34"/>
        <v/>
      </c>
      <c r="N142" s="220" t="str">
        <f t="shared" si="35"/>
        <v/>
      </c>
      <c r="O142" s="290">
        <f t="shared" si="36"/>
        <v>2</v>
      </c>
      <c r="P142" s="296"/>
      <c r="Q142" s="275" t="str">
        <f t="shared" si="37"/>
        <v/>
      </c>
      <c r="R142" s="306" t="str">
        <f t="shared" si="38"/>
        <v>B.7</v>
      </c>
    </row>
    <row r="143" spans="1:22" ht="30" x14ac:dyDescent="0.25">
      <c r="A143" s="10">
        <v>145</v>
      </c>
      <c r="B143" s="297" t="str">
        <f t="shared" si="29"/>
        <v>B.7.01</v>
      </c>
      <c r="C143" s="304" t="s">
        <v>97</v>
      </c>
      <c r="D143" s="10">
        <v>7</v>
      </c>
      <c r="E143" s="10">
        <v>1</v>
      </c>
      <c r="F143" s="10"/>
      <c r="G143" s="305" t="s">
        <v>276</v>
      </c>
      <c r="H143" s="289">
        <v>1</v>
      </c>
      <c r="I143" s="290" t="str">
        <f t="shared" si="30"/>
        <v/>
      </c>
      <c r="J143" s="220" t="str">
        <f t="shared" si="31"/>
        <v/>
      </c>
      <c r="K143" s="220" t="str">
        <f t="shared" si="32"/>
        <v/>
      </c>
      <c r="L143" s="220" t="str">
        <f t="shared" si="33"/>
        <v/>
      </c>
      <c r="M143" s="220">
        <f t="shared" si="34"/>
        <v>5</v>
      </c>
      <c r="N143" s="220" t="str">
        <f t="shared" si="35"/>
        <v/>
      </c>
      <c r="O143" s="290">
        <f t="shared" si="36"/>
        <v>5</v>
      </c>
      <c r="P143" s="296"/>
      <c r="Q143" s="275" t="str">
        <f t="shared" si="37"/>
        <v>01</v>
      </c>
      <c r="R143" s="306" t="str">
        <f t="shared" si="38"/>
        <v>B.7.01</v>
      </c>
    </row>
    <row r="144" spans="1:22" ht="30" x14ac:dyDescent="0.25">
      <c r="A144" s="10">
        <v>146</v>
      </c>
      <c r="B144" s="297" t="str">
        <f t="shared" si="29"/>
        <v/>
      </c>
      <c r="C144" s="304"/>
      <c r="D144" s="10"/>
      <c r="E144" s="10"/>
      <c r="F144" s="10" t="s">
        <v>143</v>
      </c>
      <c r="G144" s="305" t="s">
        <v>321</v>
      </c>
      <c r="I144" s="290" t="str">
        <f t="shared" si="30"/>
        <v/>
      </c>
      <c r="J144" s="220" t="str">
        <f t="shared" si="31"/>
        <v/>
      </c>
      <c r="K144" s="220">
        <f t="shared" si="32"/>
        <v>3</v>
      </c>
      <c r="L144" s="220" t="str">
        <f t="shared" si="33"/>
        <v/>
      </c>
      <c r="M144" s="220" t="str">
        <f t="shared" si="34"/>
        <v/>
      </c>
      <c r="N144" s="220" t="str">
        <f t="shared" si="35"/>
        <v/>
      </c>
      <c r="O144" s="290">
        <f t="shared" si="36"/>
        <v>3</v>
      </c>
      <c r="P144" s="296"/>
      <c r="Q144" s="275" t="str">
        <f t="shared" si="37"/>
        <v/>
      </c>
      <c r="R144" s="306" t="str">
        <f t="shared" si="38"/>
        <v/>
      </c>
    </row>
    <row r="145" spans="1:18" ht="45" x14ac:dyDescent="0.25">
      <c r="A145" s="10">
        <v>147</v>
      </c>
      <c r="B145" s="297" t="str">
        <f t="shared" si="29"/>
        <v>B.7.02</v>
      </c>
      <c r="C145" s="304" t="s">
        <v>97</v>
      </c>
      <c r="D145" s="10">
        <v>7</v>
      </c>
      <c r="E145" s="10">
        <v>2</v>
      </c>
      <c r="F145" s="10"/>
      <c r="G145" s="305" t="s">
        <v>277</v>
      </c>
      <c r="H145" s="289">
        <v>4</v>
      </c>
      <c r="I145" s="290" t="str">
        <f t="shared" si="30"/>
        <v/>
      </c>
      <c r="J145" s="220" t="str">
        <f t="shared" si="31"/>
        <v/>
      </c>
      <c r="K145" s="220" t="str">
        <f t="shared" si="32"/>
        <v/>
      </c>
      <c r="L145" s="220" t="str">
        <f t="shared" si="33"/>
        <v/>
      </c>
      <c r="M145" s="220">
        <f t="shared" si="34"/>
        <v>5</v>
      </c>
      <c r="N145" s="220" t="str">
        <f t="shared" si="35"/>
        <v/>
      </c>
      <c r="O145" s="290">
        <f t="shared" si="36"/>
        <v>5</v>
      </c>
      <c r="P145" s="296"/>
      <c r="Q145" s="275" t="str">
        <f t="shared" si="37"/>
        <v>02</v>
      </c>
      <c r="R145" s="306" t="str">
        <f t="shared" si="38"/>
        <v>B.7.02</v>
      </c>
    </row>
    <row r="146" spans="1:18" ht="45" x14ac:dyDescent="0.25">
      <c r="A146" s="10">
        <v>148</v>
      </c>
      <c r="B146" s="297" t="str">
        <f t="shared" si="29"/>
        <v>B.7.03</v>
      </c>
      <c r="C146" s="304" t="s">
        <v>97</v>
      </c>
      <c r="D146" s="10">
        <v>7</v>
      </c>
      <c r="E146" s="10">
        <v>3</v>
      </c>
      <c r="F146" s="10"/>
      <c r="G146" s="305" t="s">
        <v>278</v>
      </c>
      <c r="H146" s="289">
        <v>3</v>
      </c>
      <c r="I146" s="290" t="str">
        <f t="shared" si="30"/>
        <v/>
      </c>
      <c r="J146" s="220" t="str">
        <f t="shared" si="31"/>
        <v/>
      </c>
      <c r="K146" s="220" t="str">
        <f t="shared" si="32"/>
        <v/>
      </c>
      <c r="L146" s="220" t="str">
        <f t="shared" si="33"/>
        <v/>
      </c>
      <c r="M146" s="220">
        <f t="shared" si="34"/>
        <v>5</v>
      </c>
      <c r="N146" s="220" t="str">
        <f t="shared" si="35"/>
        <v/>
      </c>
      <c r="O146" s="290">
        <f t="shared" si="36"/>
        <v>5</v>
      </c>
      <c r="P146" s="296"/>
      <c r="Q146" s="275" t="str">
        <f t="shared" si="37"/>
        <v>03</v>
      </c>
      <c r="R146" s="306" t="str">
        <f t="shared" si="38"/>
        <v>B.7.03</v>
      </c>
    </row>
    <row r="147" spans="1:18" ht="30" x14ac:dyDescent="0.25">
      <c r="A147" s="10">
        <v>149</v>
      </c>
      <c r="B147" s="297" t="str">
        <f t="shared" si="29"/>
        <v>B.7.04</v>
      </c>
      <c r="C147" s="304" t="s">
        <v>97</v>
      </c>
      <c r="D147" s="10">
        <v>7</v>
      </c>
      <c r="E147" s="10">
        <v>4</v>
      </c>
      <c r="F147" s="10"/>
      <c r="G147" s="305" t="s">
        <v>186</v>
      </c>
      <c r="H147" s="289">
        <v>2</v>
      </c>
      <c r="I147" s="290" t="str">
        <f t="shared" si="30"/>
        <v/>
      </c>
      <c r="J147" s="220" t="str">
        <f t="shared" si="31"/>
        <v/>
      </c>
      <c r="K147" s="220" t="str">
        <f t="shared" si="32"/>
        <v/>
      </c>
      <c r="L147" s="220" t="str">
        <f t="shared" si="33"/>
        <v/>
      </c>
      <c r="M147" s="220">
        <f t="shared" si="34"/>
        <v>5</v>
      </c>
      <c r="N147" s="220" t="str">
        <f t="shared" si="35"/>
        <v/>
      </c>
      <c r="O147" s="290">
        <f t="shared" si="36"/>
        <v>5</v>
      </c>
      <c r="P147" s="296"/>
      <c r="Q147" s="275" t="str">
        <f t="shared" si="37"/>
        <v>04</v>
      </c>
      <c r="R147" s="306" t="str">
        <f t="shared" si="38"/>
        <v>B.7.04</v>
      </c>
    </row>
    <row r="148" spans="1:18" ht="45" x14ac:dyDescent="0.25">
      <c r="A148" s="10">
        <v>150</v>
      </c>
      <c r="B148" s="297" t="str">
        <f t="shared" si="29"/>
        <v/>
      </c>
      <c r="C148" s="304"/>
      <c r="D148" s="10"/>
      <c r="E148" s="10"/>
      <c r="F148" s="10" t="s">
        <v>143</v>
      </c>
      <c r="G148" s="305" t="s">
        <v>351</v>
      </c>
      <c r="I148" s="290" t="str">
        <f t="shared" si="30"/>
        <v/>
      </c>
      <c r="J148" s="220" t="str">
        <f t="shared" si="31"/>
        <v/>
      </c>
      <c r="K148" s="220">
        <f t="shared" si="32"/>
        <v>3</v>
      </c>
      <c r="L148" s="220" t="str">
        <f t="shared" si="33"/>
        <v/>
      </c>
      <c r="M148" s="220" t="str">
        <f t="shared" si="34"/>
        <v/>
      </c>
      <c r="N148" s="220" t="str">
        <f t="shared" si="35"/>
        <v/>
      </c>
      <c r="O148" s="290">
        <f t="shared" si="36"/>
        <v>3</v>
      </c>
      <c r="P148" s="296"/>
      <c r="Q148" s="275" t="str">
        <f t="shared" si="37"/>
        <v/>
      </c>
      <c r="R148" s="306" t="str">
        <f t="shared" si="38"/>
        <v/>
      </c>
    </row>
    <row r="149" spans="1:18" x14ac:dyDescent="0.25">
      <c r="A149" s="10">
        <v>151</v>
      </c>
      <c r="B149" s="297" t="str">
        <f t="shared" si="29"/>
        <v>B.7.05</v>
      </c>
      <c r="C149" s="304" t="s">
        <v>97</v>
      </c>
      <c r="D149" s="10">
        <v>7</v>
      </c>
      <c r="E149" s="10">
        <v>5</v>
      </c>
      <c r="F149" s="10"/>
      <c r="G149" s="305" t="s">
        <v>187</v>
      </c>
      <c r="H149" s="289">
        <v>5</v>
      </c>
      <c r="I149" s="290" t="str">
        <f t="shared" si="30"/>
        <v/>
      </c>
      <c r="J149" s="220" t="str">
        <f t="shared" si="31"/>
        <v/>
      </c>
      <c r="K149" s="220" t="str">
        <f t="shared" si="32"/>
        <v/>
      </c>
      <c r="L149" s="220" t="str">
        <f t="shared" si="33"/>
        <v/>
      </c>
      <c r="M149" s="220">
        <f t="shared" si="34"/>
        <v>5</v>
      </c>
      <c r="N149" s="220" t="str">
        <f t="shared" si="35"/>
        <v/>
      </c>
      <c r="O149" s="290">
        <f t="shared" si="36"/>
        <v>5</v>
      </c>
      <c r="P149" s="296"/>
      <c r="Q149" s="275" t="str">
        <f t="shared" si="37"/>
        <v>05</v>
      </c>
      <c r="R149" s="306" t="str">
        <f t="shared" si="38"/>
        <v>B.7.05</v>
      </c>
    </row>
    <row r="150" spans="1:18" x14ac:dyDescent="0.25">
      <c r="A150" s="10">
        <v>152</v>
      </c>
      <c r="B150" s="297" t="str">
        <f t="shared" si="29"/>
        <v>B.7.06</v>
      </c>
      <c r="C150" s="304" t="s">
        <v>97</v>
      </c>
      <c r="D150" s="10">
        <v>7</v>
      </c>
      <c r="E150" s="10">
        <v>6</v>
      </c>
      <c r="F150" s="10"/>
      <c r="G150" s="305" t="s">
        <v>188</v>
      </c>
      <c r="H150" s="289">
        <v>3</v>
      </c>
      <c r="I150" s="290" t="str">
        <f t="shared" si="30"/>
        <v/>
      </c>
      <c r="J150" s="220" t="str">
        <f t="shared" si="31"/>
        <v/>
      </c>
      <c r="K150" s="220" t="str">
        <f t="shared" si="32"/>
        <v/>
      </c>
      <c r="L150" s="220" t="str">
        <f t="shared" si="33"/>
        <v/>
      </c>
      <c r="M150" s="220">
        <f t="shared" si="34"/>
        <v>5</v>
      </c>
      <c r="N150" s="220" t="str">
        <f t="shared" si="35"/>
        <v/>
      </c>
      <c r="O150" s="290">
        <f t="shared" si="36"/>
        <v>5</v>
      </c>
      <c r="P150" s="296"/>
      <c r="Q150" s="275" t="str">
        <f t="shared" si="37"/>
        <v>06</v>
      </c>
      <c r="R150" s="306" t="str">
        <f t="shared" si="38"/>
        <v>B.7.06</v>
      </c>
    </row>
    <row r="151" spans="1:18" ht="60" x14ac:dyDescent="0.25">
      <c r="A151" s="10">
        <v>153</v>
      </c>
      <c r="B151" s="297" t="str">
        <f t="shared" si="29"/>
        <v/>
      </c>
      <c r="C151" s="304"/>
      <c r="D151" s="10"/>
      <c r="E151" s="10"/>
      <c r="F151" s="10" t="s">
        <v>143</v>
      </c>
      <c r="G151" s="305" t="s">
        <v>353</v>
      </c>
      <c r="I151" s="290" t="str">
        <f t="shared" si="30"/>
        <v/>
      </c>
      <c r="J151" s="220" t="str">
        <f t="shared" si="31"/>
        <v/>
      </c>
      <c r="K151" s="220">
        <f t="shared" si="32"/>
        <v>3</v>
      </c>
      <c r="L151" s="220" t="str">
        <f t="shared" si="33"/>
        <v/>
      </c>
      <c r="M151" s="220" t="str">
        <f t="shared" si="34"/>
        <v/>
      </c>
      <c r="N151" s="220" t="str">
        <f t="shared" si="35"/>
        <v/>
      </c>
      <c r="O151" s="290">
        <f t="shared" si="36"/>
        <v>3</v>
      </c>
      <c r="P151" s="296"/>
      <c r="Q151" s="275" t="str">
        <f t="shared" si="37"/>
        <v/>
      </c>
      <c r="R151" s="306" t="str">
        <f t="shared" si="38"/>
        <v/>
      </c>
    </row>
    <row r="152" spans="1:18" x14ac:dyDescent="0.25">
      <c r="A152" s="10">
        <v>154</v>
      </c>
      <c r="B152" s="297" t="str">
        <f t="shared" si="29"/>
        <v>B.7.07</v>
      </c>
      <c r="C152" s="304" t="s">
        <v>97</v>
      </c>
      <c r="D152" s="10">
        <v>7</v>
      </c>
      <c r="E152" s="10">
        <v>7</v>
      </c>
      <c r="F152" s="10"/>
      <c r="G152" s="305" t="s">
        <v>111</v>
      </c>
      <c r="H152" s="289">
        <v>3</v>
      </c>
      <c r="I152" s="290" t="str">
        <f t="shared" si="30"/>
        <v/>
      </c>
      <c r="J152" s="220" t="str">
        <f t="shared" si="31"/>
        <v/>
      </c>
      <c r="K152" s="220" t="str">
        <f t="shared" si="32"/>
        <v/>
      </c>
      <c r="L152" s="220" t="str">
        <f t="shared" si="33"/>
        <v/>
      </c>
      <c r="M152" s="220">
        <f t="shared" si="34"/>
        <v>5</v>
      </c>
      <c r="N152" s="220" t="str">
        <f t="shared" si="35"/>
        <v/>
      </c>
      <c r="O152" s="290">
        <f t="shared" si="36"/>
        <v>5</v>
      </c>
      <c r="P152" s="296"/>
      <c r="Q152" s="275" t="str">
        <f t="shared" si="37"/>
        <v>07</v>
      </c>
      <c r="R152" s="306" t="str">
        <f t="shared" si="38"/>
        <v>B.7.07</v>
      </c>
    </row>
    <row r="153" spans="1:18" ht="60" x14ac:dyDescent="0.25">
      <c r="A153" s="10">
        <v>155</v>
      </c>
      <c r="B153" s="297" t="str">
        <f t="shared" si="29"/>
        <v/>
      </c>
      <c r="C153" s="304"/>
      <c r="D153" s="10"/>
      <c r="E153" s="10"/>
      <c r="F153" s="10" t="s">
        <v>143</v>
      </c>
      <c r="G153" s="305" t="s">
        <v>352</v>
      </c>
      <c r="I153" s="290" t="str">
        <f t="shared" si="30"/>
        <v/>
      </c>
      <c r="J153" s="220" t="str">
        <f t="shared" si="31"/>
        <v/>
      </c>
      <c r="K153" s="220">
        <f t="shared" si="32"/>
        <v>3</v>
      </c>
      <c r="L153" s="220" t="str">
        <f t="shared" si="33"/>
        <v/>
      </c>
      <c r="M153" s="220" t="str">
        <f t="shared" si="34"/>
        <v/>
      </c>
      <c r="N153" s="220" t="str">
        <f t="shared" si="35"/>
        <v/>
      </c>
      <c r="O153" s="290">
        <f t="shared" si="36"/>
        <v>3</v>
      </c>
      <c r="P153" s="296"/>
      <c r="Q153" s="275" t="str">
        <f t="shared" si="37"/>
        <v/>
      </c>
      <c r="R153" s="306" t="str">
        <f t="shared" si="38"/>
        <v/>
      </c>
    </row>
    <row r="154" spans="1:18" x14ac:dyDescent="0.25">
      <c r="A154" s="10">
        <v>156</v>
      </c>
      <c r="B154" s="297" t="str">
        <f t="shared" si="29"/>
        <v>B.7.08</v>
      </c>
      <c r="C154" s="304" t="s">
        <v>97</v>
      </c>
      <c r="D154" s="10">
        <v>7</v>
      </c>
      <c r="E154" s="10">
        <v>8</v>
      </c>
      <c r="F154" s="10"/>
      <c r="G154" s="305" t="s">
        <v>112</v>
      </c>
      <c r="H154" s="289">
        <v>3</v>
      </c>
      <c r="I154" s="290" t="str">
        <f t="shared" si="30"/>
        <v/>
      </c>
      <c r="J154" s="220" t="str">
        <f t="shared" si="31"/>
        <v/>
      </c>
      <c r="K154" s="220" t="str">
        <f t="shared" si="32"/>
        <v/>
      </c>
      <c r="L154" s="220" t="str">
        <f t="shared" si="33"/>
        <v/>
      </c>
      <c r="M154" s="220">
        <f t="shared" si="34"/>
        <v>5</v>
      </c>
      <c r="N154" s="220" t="str">
        <f t="shared" si="35"/>
        <v/>
      </c>
      <c r="O154" s="290">
        <f t="shared" si="36"/>
        <v>5</v>
      </c>
      <c r="P154" s="296"/>
      <c r="Q154" s="275" t="str">
        <f t="shared" si="37"/>
        <v>08</v>
      </c>
      <c r="R154" s="306" t="str">
        <f t="shared" si="38"/>
        <v>B.7.08</v>
      </c>
    </row>
    <row r="155" spans="1:18" x14ac:dyDescent="0.25">
      <c r="A155" s="10">
        <v>157</v>
      </c>
      <c r="B155" s="297" t="str">
        <f t="shared" si="29"/>
        <v>B.8</v>
      </c>
      <c r="C155" s="304" t="s">
        <v>97</v>
      </c>
      <c r="D155" s="10">
        <v>8</v>
      </c>
      <c r="E155" s="10"/>
      <c r="F155" s="10"/>
      <c r="G155" s="305" t="s">
        <v>279</v>
      </c>
      <c r="I155" s="290" t="str">
        <f t="shared" si="30"/>
        <v/>
      </c>
      <c r="J155" s="220">
        <f t="shared" si="31"/>
        <v>2</v>
      </c>
      <c r="K155" s="220" t="str">
        <f t="shared" si="32"/>
        <v/>
      </c>
      <c r="L155" s="220" t="str">
        <f t="shared" si="33"/>
        <v/>
      </c>
      <c r="M155" s="220" t="str">
        <f t="shared" si="34"/>
        <v/>
      </c>
      <c r="N155" s="220" t="str">
        <f t="shared" si="35"/>
        <v/>
      </c>
      <c r="O155" s="290">
        <f t="shared" si="36"/>
        <v>2</v>
      </c>
      <c r="P155" s="296"/>
      <c r="Q155" s="275" t="str">
        <f t="shared" si="37"/>
        <v/>
      </c>
      <c r="R155" s="306" t="str">
        <f t="shared" si="38"/>
        <v>B.8</v>
      </c>
    </row>
    <row r="156" spans="1:18" ht="30" x14ac:dyDescent="0.25">
      <c r="A156" s="10">
        <v>158</v>
      </c>
      <c r="B156" s="297" t="str">
        <f t="shared" si="29"/>
        <v>B.8.01</v>
      </c>
      <c r="C156" s="304" t="s">
        <v>97</v>
      </c>
      <c r="D156" s="10">
        <v>8</v>
      </c>
      <c r="E156" s="10">
        <v>1</v>
      </c>
      <c r="F156" s="10"/>
      <c r="G156" s="305" t="s">
        <v>280</v>
      </c>
      <c r="H156" s="289">
        <v>1</v>
      </c>
      <c r="I156" s="290" t="str">
        <f t="shared" si="30"/>
        <v/>
      </c>
      <c r="J156" s="220" t="str">
        <f t="shared" si="31"/>
        <v/>
      </c>
      <c r="K156" s="220" t="str">
        <f t="shared" si="32"/>
        <v/>
      </c>
      <c r="L156" s="220" t="str">
        <f t="shared" si="33"/>
        <v/>
      </c>
      <c r="M156" s="220">
        <f t="shared" si="34"/>
        <v>5</v>
      </c>
      <c r="N156" s="220" t="str">
        <f t="shared" si="35"/>
        <v/>
      </c>
      <c r="O156" s="290">
        <f t="shared" si="36"/>
        <v>5</v>
      </c>
      <c r="P156" s="296"/>
      <c r="Q156" s="275" t="str">
        <f t="shared" si="37"/>
        <v>01</v>
      </c>
      <c r="R156" s="306" t="str">
        <f t="shared" si="38"/>
        <v>B.8.01</v>
      </c>
    </row>
    <row r="157" spans="1:18" ht="60" x14ac:dyDescent="0.25">
      <c r="A157" s="10">
        <v>159</v>
      </c>
      <c r="B157" s="297" t="str">
        <f t="shared" si="29"/>
        <v>B.8.02</v>
      </c>
      <c r="C157" s="304" t="s">
        <v>97</v>
      </c>
      <c r="D157" s="10">
        <v>8</v>
      </c>
      <c r="E157" s="10">
        <v>2</v>
      </c>
      <c r="F157" s="10"/>
      <c r="G157" s="305" t="s">
        <v>341</v>
      </c>
      <c r="H157" s="289">
        <v>4</v>
      </c>
      <c r="I157" s="290" t="str">
        <f t="shared" si="30"/>
        <v/>
      </c>
      <c r="J157" s="220" t="str">
        <f t="shared" si="31"/>
        <v/>
      </c>
      <c r="K157" s="220" t="str">
        <f t="shared" si="32"/>
        <v/>
      </c>
      <c r="L157" s="220" t="str">
        <f t="shared" si="33"/>
        <v/>
      </c>
      <c r="M157" s="220">
        <f t="shared" si="34"/>
        <v>5</v>
      </c>
      <c r="N157" s="220" t="str">
        <f t="shared" si="35"/>
        <v/>
      </c>
      <c r="O157" s="290">
        <f t="shared" si="36"/>
        <v>5</v>
      </c>
      <c r="P157" s="296"/>
      <c r="Q157" s="275" t="str">
        <f t="shared" si="37"/>
        <v>02</v>
      </c>
      <c r="R157" s="306" t="str">
        <f t="shared" si="38"/>
        <v>B.8.02</v>
      </c>
    </row>
    <row r="158" spans="1:18" ht="60" x14ac:dyDescent="0.25">
      <c r="A158" s="10">
        <v>160</v>
      </c>
      <c r="B158" s="297" t="str">
        <f t="shared" si="29"/>
        <v>B.8.03</v>
      </c>
      <c r="C158" s="304" t="s">
        <v>97</v>
      </c>
      <c r="D158" s="10">
        <v>8</v>
      </c>
      <c r="E158" s="10">
        <v>3</v>
      </c>
      <c r="F158" s="10"/>
      <c r="G158" s="305" t="s">
        <v>330</v>
      </c>
      <c r="H158" s="289">
        <v>3</v>
      </c>
      <c r="I158" s="290" t="str">
        <f t="shared" si="30"/>
        <v/>
      </c>
      <c r="J158" s="220" t="str">
        <f t="shared" si="31"/>
        <v/>
      </c>
      <c r="K158" s="220" t="str">
        <f t="shared" si="32"/>
        <v/>
      </c>
      <c r="L158" s="220" t="str">
        <f t="shared" si="33"/>
        <v/>
      </c>
      <c r="M158" s="220">
        <f t="shared" si="34"/>
        <v>5</v>
      </c>
      <c r="N158" s="220" t="str">
        <f t="shared" si="35"/>
        <v/>
      </c>
      <c r="O158" s="290">
        <f t="shared" si="36"/>
        <v>5</v>
      </c>
      <c r="P158" s="296"/>
      <c r="Q158" s="275" t="str">
        <f t="shared" si="37"/>
        <v>03</v>
      </c>
      <c r="R158" s="306" t="str">
        <f t="shared" si="38"/>
        <v>B.8.03</v>
      </c>
    </row>
    <row r="159" spans="1:18" ht="45" x14ac:dyDescent="0.25">
      <c r="A159" s="10">
        <v>161</v>
      </c>
      <c r="B159" s="297" t="str">
        <f t="shared" si="29"/>
        <v>B.8.04</v>
      </c>
      <c r="C159" s="304" t="s">
        <v>97</v>
      </c>
      <c r="D159" s="10">
        <v>8</v>
      </c>
      <c r="E159" s="10">
        <v>4</v>
      </c>
      <c r="F159" s="10"/>
      <c r="G159" s="305" t="s">
        <v>342</v>
      </c>
      <c r="H159" s="289">
        <v>4</v>
      </c>
      <c r="I159" s="290" t="str">
        <f t="shared" si="30"/>
        <v/>
      </c>
      <c r="J159" s="220" t="str">
        <f t="shared" si="31"/>
        <v/>
      </c>
      <c r="K159" s="220" t="str">
        <f t="shared" si="32"/>
        <v/>
      </c>
      <c r="L159" s="220" t="str">
        <f t="shared" si="33"/>
        <v/>
      </c>
      <c r="M159" s="220">
        <f t="shared" si="34"/>
        <v>5</v>
      </c>
      <c r="N159" s="220" t="str">
        <f t="shared" si="35"/>
        <v/>
      </c>
      <c r="O159" s="290">
        <f t="shared" si="36"/>
        <v>5</v>
      </c>
      <c r="P159" s="296"/>
      <c r="Q159" s="275" t="str">
        <f t="shared" si="37"/>
        <v>04</v>
      </c>
      <c r="R159" s="306" t="str">
        <f t="shared" si="38"/>
        <v>B.8.04</v>
      </c>
    </row>
    <row r="160" spans="1:18" ht="30" x14ac:dyDescent="0.25">
      <c r="A160" s="10">
        <v>162</v>
      </c>
      <c r="B160" s="297" t="str">
        <f t="shared" si="29"/>
        <v>B.8.05</v>
      </c>
      <c r="C160" s="304" t="s">
        <v>97</v>
      </c>
      <c r="D160" s="10">
        <v>8</v>
      </c>
      <c r="E160" s="10">
        <v>5</v>
      </c>
      <c r="F160" s="10"/>
      <c r="G160" s="305" t="s">
        <v>113</v>
      </c>
      <c r="H160" s="289">
        <v>2</v>
      </c>
      <c r="I160" s="290" t="str">
        <f t="shared" si="30"/>
        <v/>
      </c>
      <c r="J160" s="220" t="str">
        <f t="shared" si="31"/>
        <v/>
      </c>
      <c r="K160" s="220" t="str">
        <f t="shared" si="32"/>
        <v/>
      </c>
      <c r="L160" s="220" t="str">
        <f t="shared" si="33"/>
        <v/>
      </c>
      <c r="M160" s="220">
        <f t="shared" si="34"/>
        <v>5</v>
      </c>
      <c r="N160" s="220" t="str">
        <f t="shared" si="35"/>
        <v/>
      </c>
      <c r="O160" s="290">
        <f t="shared" si="36"/>
        <v>5</v>
      </c>
      <c r="P160" s="296"/>
      <c r="Q160" s="275" t="str">
        <f t="shared" si="37"/>
        <v>05</v>
      </c>
      <c r="R160" s="306" t="str">
        <f t="shared" si="38"/>
        <v>B.8.05</v>
      </c>
    </row>
    <row r="161" spans="1:18" ht="45" x14ac:dyDescent="0.25">
      <c r="A161" s="10">
        <v>163</v>
      </c>
      <c r="B161" s="297" t="str">
        <f t="shared" si="29"/>
        <v>B.8.06</v>
      </c>
      <c r="C161" s="304" t="s">
        <v>97</v>
      </c>
      <c r="D161" s="10">
        <v>8</v>
      </c>
      <c r="E161" s="10">
        <v>6</v>
      </c>
      <c r="F161" s="10"/>
      <c r="G161" s="305" t="s">
        <v>343</v>
      </c>
      <c r="H161" s="289">
        <v>5</v>
      </c>
      <c r="I161" s="290" t="str">
        <f t="shared" si="30"/>
        <v/>
      </c>
      <c r="J161" s="220" t="str">
        <f t="shared" si="31"/>
        <v/>
      </c>
      <c r="K161" s="220" t="str">
        <f t="shared" si="32"/>
        <v/>
      </c>
      <c r="L161" s="220" t="str">
        <f t="shared" si="33"/>
        <v/>
      </c>
      <c r="M161" s="220">
        <f t="shared" si="34"/>
        <v>5</v>
      </c>
      <c r="N161" s="220" t="str">
        <f t="shared" si="35"/>
        <v/>
      </c>
      <c r="O161" s="290">
        <f t="shared" si="36"/>
        <v>5</v>
      </c>
      <c r="P161" s="296"/>
      <c r="Q161" s="275" t="str">
        <f t="shared" si="37"/>
        <v>06</v>
      </c>
      <c r="R161" s="306" t="str">
        <f t="shared" si="38"/>
        <v>B.8.06</v>
      </c>
    </row>
    <row r="162" spans="1:18" ht="90" x14ac:dyDescent="0.25">
      <c r="A162" s="10">
        <v>164</v>
      </c>
      <c r="B162" s="297" t="str">
        <f t="shared" si="29"/>
        <v/>
      </c>
      <c r="C162" s="304"/>
      <c r="D162" s="10"/>
      <c r="E162" s="10"/>
      <c r="F162" s="10" t="s">
        <v>143</v>
      </c>
      <c r="G162" s="305" t="s">
        <v>281</v>
      </c>
      <c r="I162" s="290" t="str">
        <f t="shared" si="30"/>
        <v/>
      </c>
      <c r="J162" s="220" t="str">
        <f t="shared" si="31"/>
        <v/>
      </c>
      <c r="K162" s="220">
        <f t="shared" si="32"/>
        <v>3</v>
      </c>
      <c r="L162" s="220" t="str">
        <f t="shared" si="33"/>
        <v/>
      </c>
      <c r="M162" s="220" t="str">
        <f t="shared" si="34"/>
        <v/>
      </c>
      <c r="N162" s="220" t="str">
        <f t="shared" si="35"/>
        <v/>
      </c>
      <c r="O162" s="290">
        <f t="shared" si="36"/>
        <v>3</v>
      </c>
      <c r="P162" s="296"/>
      <c r="Q162" s="275" t="str">
        <f t="shared" si="37"/>
        <v/>
      </c>
      <c r="R162" s="306" t="str">
        <f t="shared" si="38"/>
        <v/>
      </c>
    </row>
    <row r="163" spans="1:18" x14ac:dyDescent="0.25">
      <c r="A163" s="10">
        <v>165</v>
      </c>
      <c r="B163" s="297" t="str">
        <f t="shared" si="29"/>
        <v>B.9</v>
      </c>
      <c r="C163" s="304" t="s">
        <v>97</v>
      </c>
      <c r="D163" s="10">
        <v>9</v>
      </c>
      <c r="E163" s="10"/>
      <c r="F163" s="10"/>
      <c r="G163" s="305" t="s">
        <v>282</v>
      </c>
      <c r="I163" s="290" t="str">
        <f t="shared" si="30"/>
        <v/>
      </c>
      <c r="J163" s="220">
        <f t="shared" si="31"/>
        <v>2</v>
      </c>
      <c r="K163" s="220" t="str">
        <f t="shared" si="32"/>
        <v/>
      </c>
      <c r="L163" s="220" t="str">
        <f t="shared" si="33"/>
        <v/>
      </c>
      <c r="M163" s="220" t="str">
        <f t="shared" si="34"/>
        <v/>
      </c>
      <c r="N163" s="220" t="str">
        <f t="shared" si="35"/>
        <v/>
      </c>
      <c r="O163" s="290">
        <f t="shared" si="36"/>
        <v>2</v>
      </c>
      <c r="P163" s="296"/>
      <c r="Q163" s="275" t="str">
        <f t="shared" si="37"/>
        <v/>
      </c>
      <c r="R163" s="306" t="str">
        <f t="shared" si="38"/>
        <v>B.9</v>
      </c>
    </row>
    <row r="164" spans="1:18" ht="60" x14ac:dyDescent="0.25">
      <c r="A164" s="10">
        <v>166</v>
      </c>
      <c r="B164" s="297" t="str">
        <f t="shared" si="29"/>
        <v>B.9.01</v>
      </c>
      <c r="C164" s="304" t="s">
        <v>97</v>
      </c>
      <c r="D164" s="10">
        <v>9</v>
      </c>
      <c r="E164" s="10">
        <v>1</v>
      </c>
      <c r="F164" s="10"/>
      <c r="G164" s="305" t="s">
        <v>283</v>
      </c>
      <c r="H164" s="289">
        <v>1</v>
      </c>
      <c r="I164" s="290" t="str">
        <f t="shared" si="30"/>
        <v/>
      </c>
      <c r="J164" s="220" t="str">
        <f t="shared" si="31"/>
        <v/>
      </c>
      <c r="K164" s="220" t="str">
        <f t="shared" si="32"/>
        <v/>
      </c>
      <c r="L164" s="220" t="str">
        <f t="shared" si="33"/>
        <v/>
      </c>
      <c r="M164" s="220">
        <f t="shared" si="34"/>
        <v>5</v>
      </c>
      <c r="N164" s="220" t="str">
        <f t="shared" si="35"/>
        <v/>
      </c>
      <c r="O164" s="290">
        <f t="shared" si="36"/>
        <v>5</v>
      </c>
      <c r="P164" s="296"/>
      <c r="Q164" s="275" t="str">
        <f t="shared" si="37"/>
        <v>01</v>
      </c>
      <c r="R164" s="306" t="str">
        <f t="shared" si="38"/>
        <v>B.9.01</v>
      </c>
    </row>
    <row r="165" spans="1:18" x14ac:dyDescent="0.25">
      <c r="A165" s="10">
        <v>167</v>
      </c>
      <c r="B165" s="297" t="str">
        <f t="shared" si="29"/>
        <v>B.9.02</v>
      </c>
      <c r="C165" s="304" t="s">
        <v>97</v>
      </c>
      <c r="D165" s="10">
        <v>9</v>
      </c>
      <c r="E165" s="10">
        <v>2</v>
      </c>
      <c r="F165" s="10"/>
      <c r="G165" s="305" t="s">
        <v>189</v>
      </c>
      <c r="H165" s="289">
        <v>4</v>
      </c>
      <c r="I165" s="290" t="str">
        <f t="shared" si="30"/>
        <v/>
      </c>
      <c r="J165" s="220" t="str">
        <f t="shared" si="31"/>
        <v/>
      </c>
      <c r="K165" s="220" t="str">
        <f t="shared" si="32"/>
        <v/>
      </c>
      <c r="L165" s="220" t="str">
        <f t="shared" si="33"/>
        <v/>
      </c>
      <c r="M165" s="220">
        <f t="shared" si="34"/>
        <v>5</v>
      </c>
      <c r="N165" s="220" t="str">
        <f t="shared" si="35"/>
        <v/>
      </c>
      <c r="O165" s="290">
        <f t="shared" si="36"/>
        <v>5</v>
      </c>
      <c r="P165" s="296"/>
      <c r="Q165" s="275" t="str">
        <f t="shared" si="37"/>
        <v>02</v>
      </c>
      <c r="R165" s="306" t="str">
        <f t="shared" si="38"/>
        <v>B.9.02</v>
      </c>
    </row>
    <row r="166" spans="1:18" ht="75" x14ac:dyDescent="0.25">
      <c r="A166" s="10">
        <v>168</v>
      </c>
      <c r="B166" s="297" t="str">
        <f t="shared" si="29"/>
        <v/>
      </c>
      <c r="C166" s="304"/>
      <c r="D166" s="10"/>
      <c r="E166" s="10"/>
      <c r="F166" s="10" t="s">
        <v>143</v>
      </c>
      <c r="G166" s="305" t="s">
        <v>190</v>
      </c>
      <c r="I166" s="290" t="str">
        <f t="shared" si="30"/>
        <v/>
      </c>
      <c r="J166" s="220" t="str">
        <f t="shared" si="31"/>
        <v/>
      </c>
      <c r="K166" s="220">
        <f t="shared" si="32"/>
        <v>3</v>
      </c>
      <c r="L166" s="220" t="str">
        <f t="shared" si="33"/>
        <v/>
      </c>
      <c r="M166" s="220" t="str">
        <f t="shared" si="34"/>
        <v/>
      </c>
      <c r="N166" s="220" t="str">
        <f t="shared" si="35"/>
        <v/>
      </c>
      <c r="O166" s="290">
        <f t="shared" si="36"/>
        <v>3</v>
      </c>
      <c r="P166" s="296"/>
      <c r="Q166" s="275" t="str">
        <f t="shared" si="37"/>
        <v/>
      </c>
      <c r="R166" s="306" t="str">
        <f t="shared" si="38"/>
        <v/>
      </c>
    </row>
    <row r="167" spans="1:18" ht="30" x14ac:dyDescent="0.25">
      <c r="A167" s="10">
        <v>169</v>
      </c>
      <c r="B167" s="297" t="str">
        <f t="shared" si="29"/>
        <v>B.9.03</v>
      </c>
      <c r="C167" s="304" t="s">
        <v>97</v>
      </c>
      <c r="D167" s="10">
        <v>9</v>
      </c>
      <c r="E167" s="10">
        <v>3</v>
      </c>
      <c r="F167" s="10"/>
      <c r="G167" s="305" t="s">
        <v>191</v>
      </c>
      <c r="H167" s="289">
        <v>4</v>
      </c>
      <c r="I167" s="290" t="str">
        <f t="shared" si="30"/>
        <v/>
      </c>
      <c r="J167" s="220" t="str">
        <f t="shared" si="31"/>
        <v/>
      </c>
      <c r="K167" s="220" t="str">
        <f t="shared" si="32"/>
        <v/>
      </c>
      <c r="L167" s="220" t="str">
        <f t="shared" si="33"/>
        <v/>
      </c>
      <c r="M167" s="220">
        <f t="shared" si="34"/>
        <v>5</v>
      </c>
      <c r="N167" s="220" t="str">
        <f t="shared" si="35"/>
        <v/>
      </c>
      <c r="O167" s="290">
        <f t="shared" si="36"/>
        <v>5</v>
      </c>
      <c r="P167" s="296"/>
      <c r="Q167" s="275" t="str">
        <f t="shared" si="37"/>
        <v>03</v>
      </c>
      <c r="R167" s="306" t="str">
        <f t="shared" si="38"/>
        <v>B.9.03</v>
      </c>
    </row>
    <row r="168" spans="1:18" ht="30" x14ac:dyDescent="0.25">
      <c r="A168" s="10">
        <v>170</v>
      </c>
      <c r="B168" s="297" t="str">
        <f t="shared" si="29"/>
        <v>B.9.04</v>
      </c>
      <c r="C168" s="304" t="s">
        <v>97</v>
      </c>
      <c r="D168" s="10">
        <v>9</v>
      </c>
      <c r="E168" s="10">
        <v>4</v>
      </c>
      <c r="F168" s="10"/>
      <c r="G168" s="305" t="s">
        <v>284</v>
      </c>
      <c r="H168" s="289">
        <v>3</v>
      </c>
      <c r="I168" s="290" t="str">
        <f t="shared" si="30"/>
        <v/>
      </c>
      <c r="J168" s="220" t="str">
        <f t="shared" si="31"/>
        <v/>
      </c>
      <c r="K168" s="220" t="str">
        <f t="shared" si="32"/>
        <v/>
      </c>
      <c r="L168" s="220" t="str">
        <f t="shared" si="33"/>
        <v/>
      </c>
      <c r="M168" s="220">
        <f t="shared" si="34"/>
        <v>5</v>
      </c>
      <c r="N168" s="220" t="str">
        <f t="shared" si="35"/>
        <v/>
      </c>
      <c r="O168" s="290">
        <f t="shared" si="36"/>
        <v>5</v>
      </c>
      <c r="P168" s="296"/>
      <c r="Q168" s="275" t="str">
        <f t="shared" si="37"/>
        <v>04</v>
      </c>
      <c r="R168" s="306" t="str">
        <f t="shared" si="38"/>
        <v>B.9.04</v>
      </c>
    </row>
    <row r="169" spans="1:18" ht="30" x14ac:dyDescent="0.25">
      <c r="A169" s="10">
        <v>171</v>
      </c>
      <c r="B169" s="297" t="str">
        <f t="shared" si="29"/>
        <v>B.9.05</v>
      </c>
      <c r="C169" s="304" t="s">
        <v>97</v>
      </c>
      <c r="D169" s="10">
        <v>9</v>
      </c>
      <c r="E169" s="10">
        <v>5</v>
      </c>
      <c r="F169" s="10"/>
      <c r="G169" s="305" t="s">
        <v>192</v>
      </c>
      <c r="H169" s="289">
        <v>5</v>
      </c>
      <c r="I169" s="290" t="str">
        <f t="shared" si="30"/>
        <v/>
      </c>
      <c r="J169" s="220" t="str">
        <f t="shared" si="31"/>
        <v/>
      </c>
      <c r="K169" s="220" t="str">
        <f t="shared" si="32"/>
        <v/>
      </c>
      <c r="L169" s="220" t="str">
        <f t="shared" si="33"/>
        <v/>
      </c>
      <c r="M169" s="220">
        <f t="shared" si="34"/>
        <v>5</v>
      </c>
      <c r="N169" s="220" t="str">
        <f t="shared" si="35"/>
        <v/>
      </c>
      <c r="O169" s="290">
        <f t="shared" si="36"/>
        <v>5</v>
      </c>
      <c r="P169" s="296"/>
      <c r="Q169" s="275" t="str">
        <f t="shared" si="37"/>
        <v>05</v>
      </c>
      <c r="R169" s="306" t="str">
        <f t="shared" si="38"/>
        <v>B.9.05</v>
      </c>
    </row>
    <row r="170" spans="1:18" ht="60" x14ac:dyDescent="0.25">
      <c r="A170" s="10">
        <v>172</v>
      </c>
      <c r="B170" s="297" t="str">
        <f t="shared" si="29"/>
        <v/>
      </c>
      <c r="C170" s="304"/>
      <c r="D170" s="10"/>
      <c r="E170" s="10"/>
      <c r="F170" s="10" t="s">
        <v>143</v>
      </c>
      <c r="G170" s="305" t="s">
        <v>193</v>
      </c>
      <c r="I170" s="290" t="str">
        <f t="shared" si="30"/>
        <v/>
      </c>
      <c r="J170" s="220" t="str">
        <f t="shared" si="31"/>
        <v/>
      </c>
      <c r="K170" s="220">
        <f t="shared" si="32"/>
        <v>3</v>
      </c>
      <c r="L170" s="220" t="str">
        <f t="shared" si="33"/>
        <v/>
      </c>
      <c r="M170" s="220" t="str">
        <f t="shared" si="34"/>
        <v/>
      </c>
      <c r="N170" s="220" t="str">
        <f t="shared" si="35"/>
        <v/>
      </c>
      <c r="O170" s="290">
        <f t="shared" si="36"/>
        <v>3</v>
      </c>
      <c r="P170" s="296"/>
      <c r="Q170" s="275" t="str">
        <f t="shared" si="37"/>
        <v/>
      </c>
      <c r="R170" s="306" t="str">
        <f t="shared" si="38"/>
        <v/>
      </c>
    </row>
    <row r="171" spans="1:18" x14ac:dyDescent="0.25">
      <c r="A171" s="10">
        <v>173</v>
      </c>
      <c r="B171" s="297" t="str">
        <f t="shared" si="29"/>
        <v>C</v>
      </c>
      <c r="C171" s="304" t="s">
        <v>98</v>
      </c>
      <c r="D171" s="10"/>
      <c r="E171" s="10"/>
      <c r="F171" s="10"/>
      <c r="G171" s="305" t="s">
        <v>285</v>
      </c>
      <c r="I171" s="290">
        <f t="shared" si="30"/>
        <v>1</v>
      </c>
      <c r="J171" s="220" t="str">
        <f t="shared" si="31"/>
        <v/>
      </c>
      <c r="K171" s="220" t="str">
        <f t="shared" si="32"/>
        <v/>
      </c>
      <c r="L171" s="220" t="str">
        <f t="shared" si="33"/>
        <v/>
      </c>
      <c r="M171" s="220" t="str">
        <f t="shared" si="34"/>
        <v/>
      </c>
      <c r="N171" s="220" t="str">
        <f t="shared" si="35"/>
        <v/>
      </c>
      <c r="O171" s="290">
        <f t="shared" si="36"/>
        <v>1</v>
      </c>
      <c r="P171" s="296"/>
      <c r="Q171" s="275" t="str">
        <f t="shared" si="37"/>
        <v/>
      </c>
      <c r="R171" s="306" t="str">
        <f t="shared" si="38"/>
        <v>C</v>
      </c>
    </row>
    <row r="172" spans="1:18" x14ac:dyDescent="0.25">
      <c r="A172" s="10">
        <v>174</v>
      </c>
      <c r="B172" s="297" t="str">
        <f t="shared" si="29"/>
        <v>C.1</v>
      </c>
      <c r="C172" s="304" t="s">
        <v>98</v>
      </c>
      <c r="D172" s="10">
        <v>1</v>
      </c>
      <c r="E172" s="10"/>
      <c r="F172" s="10"/>
      <c r="G172" s="305" t="s">
        <v>286</v>
      </c>
      <c r="I172" s="290" t="str">
        <f t="shared" si="30"/>
        <v/>
      </c>
      <c r="J172" s="220">
        <f t="shared" si="31"/>
        <v>2</v>
      </c>
      <c r="K172" s="220" t="str">
        <f t="shared" si="32"/>
        <v/>
      </c>
      <c r="L172" s="220" t="str">
        <f t="shared" si="33"/>
        <v/>
      </c>
      <c r="M172" s="220" t="str">
        <f t="shared" si="34"/>
        <v/>
      </c>
      <c r="N172" s="220" t="str">
        <f t="shared" si="35"/>
        <v/>
      </c>
      <c r="O172" s="290">
        <f t="shared" si="36"/>
        <v>2</v>
      </c>
      <c r="P172" s="296"/>
      <c r="Q172" s="275" t="str">
        <f t="shared" si="37"/>
        <v/>
      </c>
      <c r="R172" s="306" t="str">
        <f t="shared" si="38"/>
        <v>C.1</v>
      </c>
    </row>
    <row r="173" spans="1:18" ht="30" x14ac:dyDescent="0.25">
      <c r="A173" s="10">
        <v>175</v>
      </c>
      <c r="B173" s="297" t="str">
        <f t="shared" si="29"/>
        <v>C.1.01</v>
      </c>
      <c r="C173" s="304" t="s">
        <v>98</v>
      </c>
      <c r="D173" s="10">
        <v>1</v>
      </c>
      <c r="E173" s="10">
        <v>1</v>
      </c>
      <c r="F173" s="10"/>
      <c r="G173" s="305" t="s">
        <v>287</v>
      </c>
      <c r="H173" s="289">
        <v>2</v>
      </c>
      <c r="I173" s="290" t="str">
        <f t="shared" si="30"/>
        <v/>
      </c>
      <c r="J173" s="220" t="str">
        <f t="shared" si="31"/>
        <v/>
      </c>
      <c r="K173" s="220" t="str">
        <f t="shared" si="32"/>
        <v/>
      </c>
      <c r="L173" s="220" t="str">
        <f t="shared" si="33"/>
        <v/>
      </c>
      <c r="M173" s="220">
        <f t="shared" si="34"/>
        <v>5</v>
      </c>
      <c r="N173" s="220" t="str">
        <f t="shared" si="35"/>
        <v/>
      </c>
      <c r="O173" s="290">
        <f t="shared" si="36"/>
        <v>5</v>
      </c>
      <c r="P173" s="296"/>
      <c r="Q173" s="275" t="str">
        <f t="shared" si="37"/>
        <v>01</v>
      </c>
      <c r="R173" s="306" t="str">
        <f t="shared" si="38"/>
        <v>C.1.01</v>
      </c>
    </row>
    <row r="174" spans="1:18" ht="30" x14ac:dyDescent="0.25">
      <c r="A174" s="10">
        <v>176</v>
      </c>
      <c r="B174" s="297" t="str">
        <f t="shared" si="29"/>
        <v>C.1.02</v>
      </c>
      <c r="C174" s="304" t="s">
        <v>98</v>
      </c>
      <c r="D174" s="10">
        <v>1</v>
      </c>
      <c r="E174" s="10">
        <v>2</v>
      </c>
      <c r="F174" s="10"/>
      <c r="G174" s="305" t="s">
        <v>288</v>
      </c>
      <c r="H174" s="289">
        <v>4</v>
      </c>
      <c r="I174" s="290" t="str">
        <f t="shared" si="30"/>
        <v/>
      </c>
      <c r="J174" s="220" t="str">
        <f t="shared" si="31"/>
        <v/>
      </c>
      <c r="K174" s="220" t="str">
        <f t="shared" si="32"/>
        <v/>
      </c>
      <c r="L174" s="220" t="str">
        <f t="shared" si="33"/>
        <v/>
      </c>
      <c r="M174" s="220">
        <f t="shared" si="34"/>
        <v>5</v>
      </c>
      <c r="N174" s="220" t="str">
        <f t="shared" si="35"/>
        <v/>
      </c>
      <c r="O174" s="290">
        <f t="shared" si="36"/>
        <v>5</v>
      </c>
      <c r="P174" s="296"/>
      <c r="Q174" s="275" t="str">
        <f t="shared" si="37"/>
        <v>02</v>
      </c>
      <c r="R174" s="306" t="str">
        <f t="shared" si="38"/>
        <v>C.1.02</v>
      </c>
    </row>
    <row r="175" spans="1:18" ht="90" x14ac:dyDescent="0.25">
      <c r="A175" s="10">
        <v>177</v>
      </c>
      <c r="B175" s="297" t="str">
        <f t="shared" si="29"/>
        <v/>
      </c>
      <c r="C175" s="304"/>
      <c r="D175" s="10"/>
      <c r="E175" s="10"/>
      <c r="F175" s="10" t="s">
        <v>143</v>
      </c>
      <c r="G175" s="305" t="s">
        <v>289</v>
      </c>
      <c r="I175" s="290" t="str">
        <f t="shared" si="30"/>
        <v/>
      </c>
      <c r="J175" s="220" t="str">
        <f t="shared" si="31"/>
        <v/>
      </c>
      <c r="K175" s="220">
        <f t="shared" si="32"/>
        <v>3</v>
      </c>
      <c r="L175" s="220" t="str">
        <f t="shared" si="33"/>
        <v/>
      </c>
      <c r="M175" s="220" t="str">
        <f t="shared" si="34"/>
        <v/>
      </c>
      <c r="N175" s="220" t="str">
        <f t="shared" si="35"/>
        <v/>
      </c>
      <c r="O175" s="290">
        <f t="shared" si="36"/>
        <v>3</v>
      </c>
      <c r="P175" s="296"/>
      <c r="Q175" s="275" t="str">
        <f t="shared" si="37"/>
        <v/>
      </c>
      <c r="R175" s="306" t="str">
        <f t="shared" si="38"/>
        <v/>
      </c>
    </row>
    <row r="176" spans="1:18" x14ac:dyDescent="0.25">
      <c r="A176" s="10">
        <v>178</v>
      </c>
      <c r="B176" s="297" t="str">
        <f t="shared" si="29"/>
        <v>C.2</v>
      </c>
      <c r="C176" s="304" t="s">
        <v>98</v>
      </c>
      <c r="D176" s="10">
        <v>2</v>
      </c>
      <c r="E176" s="10"/>
      <c r="F176" s="10"/>
      <c r="G176" s="305" t="s">
        <v>210</v>
      </c>
      <c r="I176" s="290" t="str">
        <f t="shared" si="30"/>
        <v/>
      </c>
      <c r="J176" s="220">
        <f t="shared" si="31"/>
        <v>2</v>
      </c>
      <c r="K176" s="220" t="str">
        <f t="shared" si="32"/>
        <v/>
      </c>
      <c r="L176" s="220" t="str">
        <f t="shared" si="33"/>
        <v/>
      </c>
      <c r="M176" s="220" t="str">
        <f t="shared" si="34"/>
        <v/>
      </c>
      <c r="N176" s="220" t="str">
        <f t="shared" si="35"/>
        <v/>
      </c>
      <c r="O176" s="290">
        <f t="shared" si="36"/>
        <v>2</v>
      </c>
      <c r="P176" s="296"/>
      <c r="Q176" s="275" t="str">
        <f t="shared" si="37"/>
        <v/>
      </c>
      <c r="R176" s="306" t="str">
        <f t="shared" si="38"/>
        <v>C.2</v>
      </c>
    </row>
    <row r="177" spans="1:18" ht="30" x14ac:dyDescent="0.25">
      <c r="A177" s="10">
        <v>179</v>
      </c>
      <c r="B177" s="297" t="str">
        <f t="shared" si="29"/>
        <v>C.2.01</v>
      </c>
      <c r="C177" s="304" t="s">
        <v>98</v>
      </c>
      <c r="D177" s="10">
        <v>2</v>
      </c>
      <c r="E177" s="10">
        <v>1</v>
      </c>
      <c r="F177" s="10"/>
      <c r="G177" s="305" t="s">
        <v>195</v>
      </c>
      <c r="H177" s="289">
        <v>2</v>
      </c>
      <c r="I177" s="290" t="str">
        <f t="shared" si="30"/>
        <v/>
      </c>
      <c r="J177" s="220" t="str">
        <f t="shared" si="31"/>
        <v/>
      </c>
      <c r="K177" s="220" t="str">
        <f t="shared" si="32"/>
        <v/>
      </c>
      <c r="L177" s="220" t="str">
        <f t="shared" si="33"/>
        <v/>
      </c>
      <c r="M177" s="220">
        <f t="shared" si="34"/>
        <v>5</v>
      </c>
      <c r="N177" s="220" t="str">
        <f t="shared" si="35"/>
        <v/>
      </c>
      <c r="O177" s="290">
        <f t="shared" si="36"/>
        <v>5</v>
      </c>
      <c r="P177" s="296"/>
      <c r="Q177" s="275" t="str">
        <f t="shared" si="37"/>
        <v>01</v>
      </c>
      <c r="R177" s="306" t="str">
        <f t="shared" si="38"/>
        <v>C.2.01</v>
      </c>
    </row>
    <row r="178" spans="1:18" x14ac:dyDescent="0.25">
      <c r="A178" s="10">
        <v>180</v>
      </c>
      <c r="B178" s="297" t="str">
        <f t="shared" si="29"/>
        <v>C.2.02</v>
      </c>
      <c r="C178" s="304" t="s">
        <v>98</v>
      </c>
      <c r="D178" s="10">
        <v>2</v>
      </c>
      <c r="E178" s="10">
        <v>2</v>
      </c>
      <c r="F178" s="10"/>
      <c r="G178" s="305" t="s">
        <v>196</v>
      </c>
      <c r="H178" s="289">
        <v>4</v>
      </c>
      <c r="I178" s="290" t="str">
        <f t="shared" si="30"/>
        <v/>
      </c>
      <c r="J178" s="220" t="str">
        <f t="shared" si="31"/>
        <v/>
      </c>
      <c r="K178" s="220" t="str">
        <f t="shared" si="32"/>
        <v/>
      </c>
      <c r="L178" s="220" t="str">
        <f t="shared" si="33"/>
        <v/>
      </c>
      <c r="M178" s="220">
        <f t="shared" si="34"/>
        <v>5</v>
      </c>
      <c r="N178" s="220" t="str">
        <f t="shared" si="35"/>
        <v/>
      </c>
      <c r="O178" s="290">
        <f t="shared" si="36"/>
        <v>5</v>
      </c>
      <c r="P178" s="296"/>
      <c r="Q178" s="275" t="str">
        <f t="shared" si="37"/>
        <v>02</v>
      </c>
      <c r="R178" s="306" t="str">
        <f t="shared" si="38"/>
        <v>C.2.02</v>
      </c>
    </row>
    <row r="179" spans="1:18" ht="60" x14ac:dyDescent="0.25">
      <c r="A179" s="10">
        <v>181</v>
      </c>
      <c r="B179" s="297" t="str">
        <f t="shared" si="29"/>
        <v/>
      </c>
      <c r="C179" s="304"/>
      <c r="D179" s="10"/>
      <c r="E179" s="10"/>
      <c r="F179" s="10" t="s">
        <v>143</v>
      </c>
      <c r="G179" s="305" t="s">
        <v>290</v>
      </c>
      <c r="I179" s="290" t="str">
        <f t="shared" si="30"/>
        <v/>
      </c>
      <c r="J179" s="220" t="str">
        <f t="shared" si="31"/>
        <v/>
      </c>
      <c r="K179" s="220">
        <f t="shared" si="32"/>
        <v>3</v>
      </c>
      <c r="L179" s="220" t="str">
        <f t="shared" si="33"/>
        <v/>
      </c>
      <c r="M179" s="220" t="str">
        <f t="shared" si="34"/>
        <v/>
      </c>
      <c r="N179" s="220" t="str">
        <f t="shared" si="35"/>
        <v/>
      </c>
      <c r="O179" s="290">
        <f t="shared" si="36"/>
        <v>3</v>
      </c>
      <c r="P179" s="296"/>
      <c r="Q179" s="275" t="str">
        <f t="shared" si="37"/>
        <v/>
      </c>
      <c r="R179" s="306" t="str">
        <f t="shared" si="38"/>
        <v/>
      </c>
    </row>
    <row r="180" spans="1:18" x14ac:dyDescent="0.25">
      <c r="A180" s="10">
        <v>182</v>
      </c>
      <c r="B180" s="297" t="str">
        <f t="shared" si="29"/>
        <v>C.3</v>
      </c>
      <c r="C180" s="304" t="s">
        <v>98</v>
      </c>
      <c r="D180" s="10">
        <v>3</v>
      </c>
      <c r="E180" s="10"/>
      <c r="F180" s="10"/>
      <c r="G180" s="305" t="s">
        <v>209</v>
      </c>
      <c r="I180" s="290" t="str">
        <f t="shared" si="30"/>
        <v/>
      </c>
      <c r="J180" s="220">
        <f t="shared" si="31"/>
        <v>2</v>
      </c>
      <c r="K180" s="220" t="str">
        <f t="shared" si="32"/>
        <v/>
      </c>
      <c r="L180" s="220" t="str">
        <f t="shared" si="33"/>
        <v/>
      </c>
      <c r="M180" s="220" t="str">
        <f t="shared" si="34"/>
        <v/>
      </c>
      <c r="N180" s="220" t="str">
        <f t="shared" si="35"/>
        <v/>
      </c>
      <c r="O180" s="290">
        <f t="shared" si="36"/>
        <v>2</v>
      </c>
      <c r="P180" s="296"/>
      <c r="Q180" s="275" t="str">
        <f t="shared" si="37"/>
        <v/>
      </c>
      <c r="R180" s="306" t="str">
        <f t="shared" si="38"/>
        <v>C.3</v>
      </c>
    </row>
    <row r="181" spans="1:18" ht="30" x14ac:dyDescent="0.25">
      <c r="A181" s="10">
        <v>183</v>
      </c>
      <c r="B181" s="297" t="str">
        <f t="shared" si="29"/>
        <v>C.3.01</v>
      </c>
      <c r="C181" s="304" t="s">
        <v>98</v>
      </c>
      <c r="D181" s="10">
        <v>3</v>
      </c>
      <c r="E181" s="10">
        <v>1</v>
      </c>
      <c r="F181" s="10"/>
      <c r="G181" s="305" t="s">
        <v>344</v>
      </c>
      <c r="H181" s="289">
        <v>1</v>
      </c>
      <c r="I181" s="290" t="str">
        <f t="shared" si="30"/>
        <v/>
      </c>
      <c r="J181" s="220" t="str">
        <f t="shared" si="31"/>
        <v/>
      </c>
      <c r="K181" s="220" t="str">
        <f t="shared" si="32"/>
        <v/>
      </c>
      <c r="L181" s="220" t="str">
        <f t="shared" si="33"/>
        <v/>
      </c>
      <c r="M181" s="220">
        <f t="shared" si="34"/>
        <v>5</v>
      </c>
      <c r="N181" s="220" t="str">
        <f t="shared" si="35"/>
        <v/>
      </c>
      <c r="O181" s="290">
        <f t="shared" si="36"/>
        <v>5</v>
      </c>
      <c r="P181" s="296"/>
      <c r="Q181" s="275" t="str">
        <f t="shared" si="37"/>
        <v>01</v>
      </c>
      <c r="R181" s="306" t="str">
        <f t="shared" si="38"/>
        <v>C.3.01</v>
      </c>
    </row>
    <row r="182" spans="1:18" ht="30" x14ac:dyDescent="0.25">
      <c r="A182" s="10">
        <v>184</v>
      </c>
      <c r="B182" s="297" t="str">
        <f t="shared" si="29"/>
        <v>C.3.02</v>
      </c>
      <c r="C182" s="304" t="s">
        <v>98</v>
      </c>
      <c r="D182" s="10">
        <v>3</v>
      </c>
      <c r="E182" s="10">
        <v>2</v>
      </c>
      <c r="F182" s="10"/>
      <c r="G182" s="305" t="s">
        <v>118</v>
      </c>
      <c r="H182" s="289">
        <v>3</v>
      </c>
      <c r="I182" s="290" t="str">
        <f t="shared" si="30"/>
        <v/>
      </c>
      <c r="J182" s="220" t="str">
        <f t="shared" si="31"/>
        <v/>
      </c>
      <c r="K182" s="220" t="str">
        <f t="shared" si="32"/>
        <v/>
      </c>
      <c r="L182" s="220" t="str">
        <f t="shared" si="33"/>
        <v/>
      </c>
      <c r="M182" s="220">
        <f t="shared" si="34"/>
        <v>5</v>
      </c>
      <c r="N182" s="220" t="str">
        <f t="shared" si="35"/>
        <v/>
      </c>
      <c r="O182" s="290">
        <f t="shared" si="36"/>
        <v>5</v>
      </c>
      <c r="P182" s="296"/>
      <c r="Q182" s="275" t="str">
        <f t="shared" si="37"/>
        <v>02</v>
      </c>
      <c r="R182" s="306" t="str">
        <f t="shared" si="38"/>
        <v>C.3.02</v>
      </c>
    </row>
    <row r="183" spans="1:18" x14ac:dyDescent="0.25">
      <c r="A183" s="10">
        <v>185</v>
      </c>
      <c r="B183" s="297" t="str">
        <f t="shared" si="29"/>
        <v>C.3.03</v>
      </c>
      <c r="C183" s="304" t="s">
        <v>98</v>
      </c>
      <c r="D183" s="10">
        <v>3</v>
      </c>
      <c r="E183" s="10">
        <v>3</v>
      </c>
      <c r="F183" s="10"/>
      <c r="G183" s="305" t="s">
        <v>194</v>
      </c>
      <c r="H183" s="289">
        <v>5</v>
      </c>
      <c r="I183" s="290" t="str">
        <f t="shared" si="30"/>
        <v/>
      </c>
      <c r="J183" s="220" t="str">
        <f t="shared" si="31"/>
        <v/>
      </c>
      <c r="K183" s="220" t="str">
        <f t="shared" si="32"/>
        <v/>
      </c>
      <c r="L183" s="220" t="str">
        <f t="shared" si="33"/>
        <v/>
      </c>
      <c r="M183" s="220">
        <f t="shared" si="34"/>
        <v>5</v>
      </c>
      <c r="N183" s="220" t="str">
        <f t="shared" si="35"/>
        <v/>
      </c>
      <c r="O183" s="290">
        <f t="shared" si="36"/>
        <v>5</v>
      </c>
      <c r="P183" s="296"/>
      <c r="Q183" s="275" t="str">
        <f t="shared" si="37"/>
        <v>03</v>
      </c>
      <c r="R183" s="306" t="str">
        <f t="shared" si="38"/>
        <v>C.3.03</v>
      </c>
    </row>
    <row r="184" spans="1:18" ht="60" x14ac:dyDescent="0.25">
      <c r="A184" s="10">
        <v>186</v>
      </c>
      <c r="B184" s="297" t="str">
        <f t="shared" si="29"/>
        <v/>
      </c>
      <c r="C184" s="304"/>
      <c r="D184" s="10"/>
      <c r="E184" s="10"/>
      <c r="F184" s="10" t="s">
        <v>143</v>
      </c>
      <c r="G184" s="305" t="s">
        <v>291</v>
      </c>
      <c r="I184" s="290" t="str">
        <f t="shared" si="30"/>
        <v/>
      </c>
      <c r="J184" s="220" t="str">
        <f t="shared" si="31"/>
        <v/>
      </c>
      <c r="K184" s="220">
        <f t="shared" si="32"/>
        <v>3</v>
      </c>
      <c r="L184" s="220" t="str">
        <f t="shared" si="33"/>
        <v/>
      </c>
      <c r="M184" s="220" t="str">
        <f t="shared" si="34"/>
        <v/>
      </c>
      <c r="N184" s="220" t="str">
        <f t="shared" si="35"/>
        <v/>
      </c>
      <c r="O184" s="290">
        <f t="shared" si="36"/>
        <v>3</v>
      </c>
      <c r="P184" s="296"/>
      <c r="Q184" s="275" t="str">
        <f t="shared" si="37"/>
        <v/>
      </c>
      <c r="R184" s="306" t="str">
        <f t="shared" si="38"/>
        <v/>
      </c>
    </row>
    <row r="185" spans="1:18" x14ac:dyDescent="0.25">
      <c r="A185" s="10">
        <v>187</v>
      </c>
      <c r="B185" s="297" t="str">
        <f t="shared" si="29"/>
        <v>C.4</v>
      </c>
      <c r="C185" s="304" t="s">
        <v>98</v>
      </c>
      <c r="D185" s="10">
        <v>4</v>
      </c>
      <c r="E185" s="10"/>
      <c r="F185" s="10"/>
      <c r="G185" s="305" t="s">
        <v>211</v>
      </c>
      <c r="I185" s="290" t="str">
        <f t="shared" si="30"/>
        <v/>
      </c>
      <c r="J185" s="220">
        <f t="shared" si="31"/>
        <v>2</v>
      </c>
      <c r="K185" s="220" t="str">
        <f t="shared" si="32"/>
        <v/>
      </c>
      <c r="L185" s="220" t="str">
        <f t="shared" si="33"/>
        <v/>
      </c>
      <c r="M185" s="220" t="str">
        <f t="shared" si="34"/>
        <v/>
      </c>
      <c r="N185" s="220" t="str">
        <f t="shared" si="35"/>
        <v/>
      </c>
      <c r="O185" s="290">
        <f t="shared" si="36"/>
        <v>2</v>
      </c>
      <c r="P185" s="296"/>
      <c r="Q185" s="275" t="str">
        <f t="shared" si="37"/>
        <v/>
      </c>
      <c r="R185" s="306" t="str">
        <f t="shared" si="38"/>
        <v>C.4</v>
      </c>
    </row>
    <row r="186" spans="1:18" x14ac:dyDescent="0.25">
      <c r="A186" s="10">
        <v>188</v>
      </c>
      <c r="B186" s="297" t="str">
        <f t="shared" si="29"/>
        <v>C.4.01</v>
      </c>
      <c r="C186" s="304" t="s">
        <v>98</v>
      </c>
      <c r="D186" s="10">
        <v>4</v>
      </c>
      <c r="E186" s="10">
        <v>1</v>
      </c>
      <c r="F186" s="10"/>
      <c r="G186" s="305" t="s">
        <v>198</v>
      </c>
      <c r="H186" s="289">
        <v>1</v>
      </c>
      <c r="I186" s="290" t="str">
        <f t="shared" si="30"/>
        <v/>
      </c>
      <c r="J186" s="220" t="str">
        <f t="shared" si="31"/>
        <v/>
      </c>
      <c r="K186" s="220" t="str">
        <f t="shared" si="32"/>
        <v/>
      </c>
      <c r="L186" s="220" t="str">
        <f t="shared" si="33"/>
        <v/>
      </c>
      <c r="M186" s="220">
        <f t="shared" si="34"/>
        <v>5</v>
      </c>
      <c r="N186" s="220" t="str">
        <f t="shared" si="35"/>
        <v/>
      </c>
      <c r="O186" s="290">
        <f t="shared" si="36"/>
        <v>5</v>
      </c>
      <c r="P186" s="296"/>
      <c r="Q186" s="275" t="str">
        <f t="shared" si="37"/>
        <v>01</v>
      </c>
      <c r="R186" s="306" t="str">
        <f t="shared" si="38"/>
        <v>C.4.01</v>
      </c>
    </row>
    <row r="187" spans="1:18" ht="30" x14ac:dyDescent="0.25">
      <c r="A187" s="10">
        <v>189</v>
      </c>
      <c r="B187" s="297" t="str">
        <f t="shared" si="29"/>
        <v>C.4.02</v>
      </c>
      <c r="C187" s="304" t="s">
        <v>98</v>
      </c>
      <c r="D187" s="10">
        <v>4</v>
      </c>
      <c r="E187" s="10">
        <v>2</v>
      </c>
      <c r="F187" s="10"/>
      <c r="G187" s="305" t="s">
        <v>292</v>
      </c>
      <c r="H187" s="289">
        <v>5</v>
      </c>
      <c r="I187" s="290" t="str">
        <f t="shared" si="30"/>
        <v/>
      </c>
      <c r="J187" s="220" t="str">
        <f t="shared" si="31"/>
        <v/>
      </c>
      <c r="K187" s="220" t="str">
        <f t="shared" si="32"/>
        <v/>
      </c>
      <c r="L187" s="220" t="str">
        <f t="shared" si="33"/>
        <v/>
      </c>
      <c r="M187" s="220">
        <f t="shared" si="34"/>
        <v>5</v>
      </c>
      <c r="N187" s="220" t="str">
        <f t="shared" si="35"/>
        <v/>
      </c>
      <c r="O187" s="290">
        <f t="shared" si="36"/>
        <v>5</v>
      </c>
      <c r="P187" s="296"/>
      <c r="Q187" s="275" t="str">
        <f t="shared" si="37"/>
        <v>02</v>
      </c>
      <c r="R187" s="306" t="str">
        <f t="shared" si="38"/>
        <v>C.4.02</v>
      </c>
    </row>
    <row r="188" spans="1:18" ht="75" x14ac:dyDescent="0.25">
      <c r="A188" s="10">
        <v>190</v>
      </c>
      <c r="B188" s="297" t="str">
        <f t="shared" si="29"/>
        <v/>
      </c>
      <c r="C188" s="304"/>
      <c r="D188" s="10"/>
      <c r="E188" s="10"/>
      <c r="F188" s="10" t="s">
        <v>143</v>
      </c>
      <c r="G188" s="305" t="s">
        <v>197</v>
      </c>
      <c r="I188" s="290" t="str">
        <f t="shared" si="30"/>
        <v/>
      </c>
      <c r="J188" s="220" t="str">
        <f t="shared" si="31"/>
        <v/>
      </c>
      <c r="K188" s="220">
        <f t="shared" si="32"/>
        <v>3</v>
      </c>
      <c r="L188" s="220" t="str">
        <f t="shared" si="33"/>
        <v/>
      </c>
      <c r="M188" s="220" t="str">
        <f t="shared" si="34"/>
        <v/>
      </c>
      <c r="N188" s="220" t="str">
        <f t="shared" si="35"/>
        <v/>
      </c>
      <c r="O188" s="290">
        <f t="shared" si="36"/>
        <v>3</v>
      </c>
      <c r="P188" s="296"/>
      <c r="Q188" s="275" t="str">
        <f t="shared" si="37"/>
        <v/>
      </c>
      <c r="R188" s="306" t="str">
        <f t="shared" si="38"/>
        <v/>
      </c>
    </row>
    <row r="189" spans="1:18" x14ac:dyDescent="0.25">
      <c r="A189" s="10">
        <v>191</v>
      </c>
      <c r="B189" s="297" t="str">
        <f t="shared" si="29"/>
        <v>C.5</v>
      </c>
      <c r="C189" s="304" t="s">
        <v>98</v>
      </c>
      <c r="D189" s="10">
        <v>5</v>
      </c>
      <c r="E189" s="10"/>
      <c r="F189" s="10"/>
      <c r="G189" s="305" t="s">
        <v>293</v>
      </c>
      <c r="I189" s="290" t="str">
        <f t="shared" si="30"/>
        <v/>
      </c>
      <c r="J189" s="220">
        <f t="shared" si="31"/>
        <v>2</v>
      </c>
      <c r="K189" s="220" t="str">
        <f t="shared" si="32"/>
        <v/>
      </c>
      <c r="L189" s="220" t="str">
        <f t="shared" si="33"/>
        <v/>
      </c>
      <c r="M189" s="220" t="str">
        <f t="shared" si="34"/>
        <v/>
      </c>
      <c r="N189" s="220" t="str">
        <f t="shared" si="35"/>
        <v/>
      </c>
      <c r="O189" s="290">
        <f t="shared" si="36"/>
        <v>2</v>
      </c>
      <c r="P189" s="296"/>
      <c r="Q189" s="275" t="str">
        <f t="shared" si="37"/>
        <v/>
      </c>
      <c r="R189" s="306" t="str">
        <f t="shared" si="38"/>
        <v>C.5</v>
      </c>
    </row>
    <row r="190" spans="1:18" ht="30" x14ac:dyDescent="0.25">
      <c r="A190" s="10">
        <v>192</v>
      </c>
      <c r="B190" s="297" t="str">
        <f t="shared" si="29"/>
        <v>C.5.01</v>
      </c>
      <c r="C190" s="304" t="s">
        <v>98</v>
      </c>
      <c r="D190" s="10">
        <v>5</v>
      </c>
      <c r="E190" s="10">
        <v>1</v>
      </c>
      <c r="F190" s="10"/>
      <c r="G190" s="305" t="s">
        <v>294</v>
      </c>
      <c r="H190" s="289">
        <v>1</v>
      </c>
      <c r="I190" s="290" t="str">
        <f t="shared" si="30"/>
        <v/>
      </c>
      <c r="J190" s="220" t="str">
        <f t="shared" si="31"/>
        <v/>
      </c>
      <c r="K190" s="220" t="str">
        <f t="shared" si="32"/>
        <v/>
      </c>
      <c r="L190" s="220" t="str">
        <f t="shared" si="33"/>
        <v/>
      </c>
      <c r="M190" s="220">
        <f t="shared" si="34"/>
        <v>5</v>
      </c>
      <c r="N190" s="220" t="str">
        <f t="shared" si="35"/>
        <v/>
      </c>
      <c r="O190" s="290">
        <f t="shared" si="36"/>
        <v>5</v>
      </c>
      <c r="P190" s="296"/>
      <c r="Q190" s="275" t="str">
        <f t="shared" si="37"/>
        <v>01</v>
      </c>
      <c r="R190" s="306" t="str">
        <f t="shared" si="38"/>
        <v>C.5.01</v>
      </c>
    </row>
    <row r="191" spans="1:18" ht="30" x14ac:dyDescent="0.25">
      <c r="A191" s="10">
        <v>193</v>
      </c>
      <c r="B191" s="297" t="str">
        <f t="shared" si="29"/>
        <v>C.5.02</v>
      </c>
      <c r="C191" s="304" t="s">
        <v>98</v>
      </c>
      <c r="D191" s="10">
        <v>5</v>
      </c>
      <c r="E191" s="10">
        <v>2</v>
      </c>
      <c r="F191" s="10"/>
      <c r="G191" s="305" t="s">
        <v>199</v>
      </c>
      <c r="H191" s="289">
        <v>5</v>
      </c>
      <c r="I191" s="290" t="str">
        <f t="shared" si="30"/>
        <v/>
      </c>
      <c r="J191" s="220" t="str">
        <f t="shared" si="31"/>
        <v/>
      </c>
      <c r="K191" s="220" t="str">
        <f t="shared" si="32"/>
        <v/>
      </c>
      <c r="L191" s="220" t="str">
        <f t="shared" si="33"/>
        <v/>
      </c>
      <c r="M191" s="220">
        <f t="shared" si="34"/>
        <v>5</v>
      </c>
      <c r="N191" s="220" t="str">
        <f t="shared" si="35"/>
        <v/>
      </c>
      <c r="O191" s="290">
        <f t="shared" si="36"/>
        <v>5</v>
      </c>
      <c r="P191" s="296"/>
      <c r="Q191" s="275" t="str">
        <f t="shared" si="37"/>
        <v>02</v>
      </c>
      <c r="R191" s="306" t="str">
        <f t="shared" si="38"/>
        <v>C.5.02</v>
      </c>
    </row>
    <row r="192" spans="1:18" ht="45" x14ac:dyDescent="0.25">
      <c r="A192" s="10">
        <v>194</v>
      </c>
      <c r="B192" s="297" t="str">
        <f t="shared" ref="B192:B200" si="39">R192</f>
        <v>C.5.03</v>
      </c>
      <c r="C192" s="304" t="s">
        <v>98</v>
      </c>
      <c r="D192" s="10">
        <v>5</v>
      </c>
      <c r="E192" s="10">
        <v>3</v>
      </c>
      <c r="F192" s="10"/>
      <c r="G192" s="305" t="s">
        <v>295</v>
      </c>
      <c r="H192" s="289">
        <v>1</v>
      </c>
      <c r="I192" s="290" t="str">
        <f t="shared" ref="I192:I200" si="40">IF(AND(LEN(C192)=1,LEN(D192)=0),1,"")</f>
        <v/>
      </c>
      <c r="J192" s="220" t="str">
        <f t="shared" ref="J192:J200" si="41">IF(AND(LEN(C192)=1,LEN(D192)=1,LEN(E192)=0,LEN(F192)=0),2,"")</f>
        <v/>
      </c>
      <c r="K192" s="220" t="str">
        <f t="shared" ref="K192:K200" si="42">IF(AND(LEN(C192)=0,LEN(E192)=0),3,"")</f>
        <v/>
      </c>
      <c r="L192" s="220" t="str">
        <f t="shared" ref="L192:L200" si="43">IF(AND(LEN(C192)&gt;0,LEN(D192&gt;0),LEN(E192)&gt;0,LEN(F192)=0,H192="N/A"),4,"")</f>
        <v/>
      </c>
      <c r="M192" s="220">
        <f t="shared" ref="M192:M200" si="44">IF(AND(LEN(C192)&gt;0,LEN(D192&gt;0),LEN(E192)&gt;0,LEN(F192)=0,H192&gt;0,H192&lt;6),5,"")</f>
        <v>5</v>
      </c>
      <c r="N192" s="220" t="str">
        <f t="shared" ref="N192:N200" si="45">IF(AND(LEN(C192)&gt;0,LEN(D192&gt;0),LEN(E192)&gt;0,LEN(F192)&gt;0,H192&gt;0,H192&lt;6),6,"")</f>
        <v/>
      </c>
      <c r="O192" s="290">
        <f t="shared" ref="O192:O200" si="46">SUM(I192:N192)</f>
        <v>5</v>
      </c>
      <c r="P192" s="296"/>
      <c r="Q192" s="275" t="str">
        <f t="shared" ref="Q192:Q200" si="47">IF(LEN(E192)&gt;0,TEXT(E192,"00"),"")</f>
        <v>03</v>
      </c>
      <c r="R192" s="306" t="str">
        <f t="shared" ref="R192:R200" si="48">IF(O192=1,C192,IF(O192=2,C192&amp;"."&amp;D192,IF(O192=3,"",IF(O192=4,C192&amp;"."&amp;D192&amp;"."&amp;Q192,IF(O192=5,C192&amp;"."&amp;D192&amp;"."&amp;Q192,IF(O192=6,C192&amp;"."&amp;D192&amp;"."&amp;Q192&amp;F192,""))))))</f>
        <v>C.5.03</v>
      </c>
    </row>
    <row r="193" spans="1:18" ht="45" x14ac:dyDescent="0.25">
      <c r="A193" s="10">
        <v>195</v>
      </c>
      <c r="B193" s="297" t="str">
        <f t="shared" si="39"/>
        <v>C.5.04</v>
      </c>
      <c r="C193" s="304" t="s">
        <v>98</v>
      </c>
      <c r="D193" s="10">
        <v>5</v>
      </c>
      <c r="E193" s="10">
        <v>4</v>
      </c>
      <c r="F193" s="10"/>
      <c r="G193" s="305" t="s">
        <v>296</v>
      </c>
      <c r="H193" s="289">
        <v>5</v>
      </c>
      <c r="I193" s="290" t="str">
        <f t="shared" si="40"/>
        <v/>
      </c>
      <c r="J193" s="220" t="str">
        <f t="shared" si="41"/>
        <v/>
      </c>
      <c r="K193" s="220" t="str">
        <f t="shared" si="42"/>
        <v/>
      </c>
      <c r="L193" s="220" t="str">
        <f t="shared" si="43"/>
        <v/>
      </c>
      <c r="M193" s="220">
        <f t="shared" si="44"/>
        <v>5</v>
      </c>
      <c r="N193" s="220" t="str">
        <f t="shared" si="45"/>
        <v/>
      </c>
      <c r="O193" s="290">
        <f t="shared" si="46"/>
        <v>5</v>
      </c>
      <c r="P193" s="296"/>
      <c r="Q193" s="275" t="str">
        <f t="shared" si="47"/>
        <v>04</v>
      </c>
      <c r="R193" s="306" t="str">
        <f t="shared" si="48"/>
        <v>C.5.04</v>
      </c>
    </row>
    <row r="194" spans="1:18" x14ac:dyDescent="0.25">
      <c r="A194" s="10">
        <v>196</v>
      </c>
      <c r="B194" s="297" t="str">
        <f t="shared" si="39"/>
        <v>C.6</v>
      </c>
      <c r="C194" s="304" t="s">
        <v>98</v>
      </c>
      <c r="D194" s="10">
        <v>6</v>
      </c>
      <c r="E194" s="10"/>
      <c r="F194" s="10"/>
      <c r="G194" s="305" t="s">
        <v>212</v>
      </c>
      <c r="I194" s="290" t="str">
        <f t="shared" si="40"/>
        <v/>
      </c>
      <c r="J194" s="220">
        <f t="shared" si="41"/>
        <v>2</v>
      </c>
      <c r="K194" s="220" t="str">
        <f t="shared" si="42"/>
        <v/>
      </c>
      <c r="L194" s="220" t="str">
        <f t="shared" si="43"/>
        <v/>
      </c>
      <c r="M194" s="220" t="str">
        <f t="shared" si="44"/>
        <v/>
      </c>
      <c r="N194" s="220" t="str">
        <f t="shared" si="45"/>
        <v/>
      </c>
      <c r="O194" s="290">
        <f t="shared" si="46"/>
        <v>2</v>
      </c>
      <c r="P194" s="296"/>
      <c r="Q194" s="275" t="str">
        <f t="shared" si="47"/>
        <v/>
      </c>
      <c r="R194" s="306" t="str">
        <f t="shared" si="48"/>
        <v>C.6</v>
      </c>
    </row>
    <row r="195" spans="1:18" x14ac:dyDescent="0.25">
      <c r="A195" s="10">
        <v>197</v>
      </c>
      <c r="B195" s="297" t="str">
        <f t="shared" si="39"/>
        <v>C.6.01</v>
      </c>
      <c r="C195" s="304" t="s">
        <v>98</v>
      </c>
      <c r="D195" s="10">
        <v>6</v>
      </c>
      <c r="E195" s="10">
        <v>1</v>
      </c>
      <c r="F195" s="10"/>
      <c r="G195" s="305" t="s">
        <v>297</v>
      </c>
      <c r="H195" s="289">
        <v>1</v>
      </c>
      <c r="I195" s="290" t="str">
        <f t="shared" si="40"/>
        <v/>
      </c>
      <c r="J195" s="220" t="str">
        <f t="shared" si="41"/>
        <v/>
      </c>
      <c r="K195" s="220" t="str">
        <f t="shared" si="42"/>
        <v/>
      </c>
      <c r="L195" s="220" t="str">
        <f t="shared" si="43"/>
        <v/>
      </c>
      <c r="M195" s="220">
        <f t="shared" si="44"/>
        <v>5</v>
      </c>
      <c r="N195" s="220" t="str">
        <f t="shared" si="45"/>
        <v/>
      </c>
      <c r="O195" s="290">
        <f t="shared" si="46"/>
        <v>5</v>
      </c>
      <c r="P195" s="296"/>
      <c r="Q195" s="275" t="str">
        <f t="shared" si="47"/>
        <v>01</v>
      </c>
      <c r="R195" s="306" t="str">
        <f t="shared" si="48"/>
        <v>C.6.01</v>
      </c>
    </row>
    <row r="196" spans="1:18" ht="45" x14ac:dyDescent="0.25">
      <c r="A196" s="10">
        <v>198</v>
      </c>
      <c r="B196" s="297" t="str">
        <f t="shared" si="39"/>
        <v>C.6.02</v>
      </c>
      <c r="C196" s="304" t="s">
        <v>98</v>
      </c>
      <c r="D196" s="10">
        <v>6</v>
      </c>
      <c r="E196" s="10">
        <v>2</v>
      </c>
      <c r="F196" s="10"/>
      <c r="G196" s="305" t="s">
        <v>200</v>
      </c>
      <c r="H196" s="289">
        <v>3</v>
      </c>
      <c r="I196" s="290" t="str">
        <f t="shared" si="40"/>
        <v/>
      </c>
      <c r="J196" s="220" t="str">
        <f t="shared" si="41"/>
        <v/>
      </c>
      <c r="K196" s="220" t="str">
        <f t="shared" si="42"/>
        <v/>
      </c>
      <c r="L196" s="220" t="str">
        <f t="shared" si="43"/>
        <v/>
      </c>
      <c r="M196" s="220">
        <f t="shared" si="44"/>
        <v>5</v>
      </c>
      <c r="N196" s="220" t="str">
        <f t="shared" si="45"/>
        <v/>
      </c>
      <c r="O196" s="290">
        <f t="shared" si="46"/>
        <v>5</v>
      </c>
      <c r="P196" s="296"/>
      <c r="Q196" s="275" t="str">
        <f t="shared" si="47"/>
        <v>02</v>
      </c>
      <c r="R196" s="306" t="str">
        <f t="shared" si="48"/>
        <v>C.6.02</v>
      </c>
    </row>
    <row r="197" spans="1:18" ht="45" x14ac:dyDescent="0.25">
      <c r="A197" s="10">
        <v>199</v>
      </c>
      <c r="B197" s="297" t="str">
        <f t="shared" si="39"/>
        <v>C.6.03</v>
      </c>
      <c r="C197" s="304" t="s">
        <v>98</v>
      </c>
      <c r="D197" s="10">
        <v>6</v>
      </c>
      <c r="E197" s="10">
        <v>3</v>
      </c>
      <c r="F197" s="10"/>
      <c r="G197" s="305" t="s">
        <v>201</v>
      </c>
      <c r="H197" s="289">
        <v>3</v>
      </c>
      <c r="I197" s="290" t="str">
        <f t="shared" si="40"/>
        <v/>
      </c>
      <c r="J197" s="220" t="str">
        <f t="shared" si="41"/>
        <v/>
      </c>
      <c r="K197" s="220" t="str">
        <f t="shared" si="42"/>
        <v/>
      </c>
      <c r="L197" s="220" t="str">
        <f t="shared" si="43"/>
        <v/>
      </c>
      <c r="M197" s="220">
        <f t="shared" si="44"/>
        <v>5</v>
      </c>
      <c r="N197" s="220" t="str">
        <f t="shared" si="45"/>
        <v/>
      </c>
      <c r="O197" s="290">
        <f t="shared" si="46"/>
        <v>5</v>
      </c>
      <c r="P197" s="296"/>
      <c r="Q197" s="275" t="str">
        <f t="shared" si="47"/>
        <v>03</v>
      </c>
      <c r="R197" s="306" t="str">
        <f t="shared" si="48"/>
        <v>C.6.03</v>
      </c>
    </row>
    <row r="198" spans="1:18" ht="45" x14ac:dyDescent="0.25">
      <c r="A198" s="10">
        <v>200</v>
      </c>
      <c r="B198" s="297" t="str">
        <f t="shared" si="39"/>
        <v>C.6.04</v>
      </c>
      <c r="C198" s="304" t="s">
        <v>98</v>
      </c>
      <c r="D198" s="10">
        <v>6</v>
      </c>
      <c r="E198" s="10">
        <v>4</v>
      </c>
      <c r="F198" s="10"/>
      <c r="G198" s="305" t="s">
        <v>202</v>
      </c>
      <c r="H198" s="289">
        <v>3</v>
      </c>
      <c r="I198" s="290" t="str">
        <f t="shared" si="40"/>
        <v/>
      </c>
      <c r="J198" s="220" t="str">
        <f t="shared" si="41"/>
        <v/>
      </c>
      <c r="K198" s="220" t="str">
        <f t="shared" si="42"/>
        <v/>
      </c>
      <c r="L198" s="220" t="str">
        <f t="shared" si="43"/>
        <v/>
      </c>
      <c r="M198" s="220">
        <f t="shared" si="44"/>
        <v>5</v>
      </c>
      <c r="N198" s="220" t="str">
        <f t="shared" si="45"/>
        <v/>
      </c>
      <c r="O198" s="290">
        <f t="shared" si="46"/>
        <v>5</v>
      </c>
      <c r="P198" s="296"/>
      <c r="Q198" s="275" t="str">
        <f t="shared" si="47"/>
        <v>04</v>
      </c>
      <c r="R198" s="306" t="str">
        <f t="shared" si="48"/>
        <v>C.6.04</v>
      </c>
    </row>
    <row r="199" spans="1:18" x14ac:dyDescent="0.25">
      <c r="A199" s="10">
        <v>201</v>
      </c>
      <c r="B199" s="297" t="str">
        <f t="shared" si="39"/>
        <v>C.6.05</v>
      </c>
      <c r="C199" s="304" t="s">
        <v>98</v>
      </c>
      <c r="D199" s="10">
        <v>6</v>
      </c>
      <c r="E199" s="10">
        <v>5</v>
      </c>
      <c r="F199" s="10"/>
      <c r="G199" s="305" t="s">
        <v>203</v>
      </c>
      <c r="H199" s="289">
        <v>4</v>
      </c>
      <c r="I199" s="290" t="str">
        <f t="shared" si="40"/>
        <v/>
      </c>
      <c r="J199" s="220" t="str">
        <f t="shared" si="41"/>
        <v/>
      </c>
      <c r="K199" s="220" t="str">
        <f t="shared" si="42"/>
        <v/>
      </c>
      <c r="L199" s="220" t="str">
        <f t="shared" si="43"/>
        <v/>
      </c>
      <c r="M199" s="220">
        <f t="shared" si="44"/>
        <v>5</v>
      </c>
      <c r="N199" s="220" t="str">
        <f t="shared" si="45"/>
        <v/>
      </c>
      <c r="O199" s="290">
        <f t="shared" si="46"/>
        <v>5</v>
      </c>
      <c r="P199" s="296"/>
      <c r="Q199" s="275" t="str">
        <f t="shared" si="47"/>
        <v>05</v>
      </c>
      <c r="R199" s="306" t="str">
        <f t="shared" si="48"/>
        <v>C.6.05</v>
      </c>
    </row>
    <row r="200" spans="1:18" ht="45" x14ac:dyDescent="0.25">
      <c r="A200" s="10">
        <v>202</v>
      </c>
      <c r="B200" s="297" t="str">
        <f t="shared" si="39"/>
        <v>C.6.06</v>
      </c>
      <c r="C200" s="304" t="s">
        <v>98</v>
      </c>
      <c r="D200" s="10">
        <v>6</v>
      </c>
      <c r="E200" s="10">
        <v>6</v>
      </c>
      <c r="F200" s="10"/>
      <c r="G200" s="305" t="s">
        <v>204</v>
      </c>
      <c r="H200" s="289">
        <v>5</v>
      </c>
      <c r="I200" s="290" t="str">
        <f t="shared" si="40"/>
        <v/>
      </c>
      <c r="J200" s="220" t="str">
        <f t="shared" si="41"/>
        <v/>
      </c>
      <c r="K200" s="220" t="str">
        <f t="shared" si="42"/>
        <v/>
      </c>
      <c r="L200" s="220" t="str">
        <f t="shared" si="43"/>
        <v/>
      </c>
      <c r="M200" s="220">
        <f t="shared" si="44"/>
        <v>5</v>
      </c>
      <c r="N200" s="220" t="str">
        <f t="shared" si="45"/>
        <v/>
      </c>
      <c r="O200" s="290">
        <f t="shared" si="46"/>
        <v>5</v>
      </c>
      <c r="P200" s="296"/>
      <c r="Q200" s="275" t="str">
        <f t="shared" si="47"/>
        <v>06</v>
      </c>
      <c r="R200" s="306" t="str">
        <f t="shared" si="48"/>
        <v>C.6.06</v>
      </c>
    </row>
  </sheetData>
  <sheetProtection algorithmName="SHA-512" hashValue="eiUxrsPi44VYzuOEKjHwzJixW4dM1oEtcGbzENfvClL8BRJ61Qzr9PAl172+1N9hEwG/xpQQN14G4AStFml8NA==" saltValue="+2CH4U5XkF8/CCrzLKgXcA==" spinCount="100000" sheet="1" objects="1" scenarios="1"/>
  <mergeCells count="2">
    <mergeCell ref="W1:X1"/>
    <mergeCell ref="A1:O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theme="0" tint="-0.499984740745262"/>
    <pageSetUpPr autoPageBreaks="0" fitToPage="1"/>
  </sheetPr>
  <dimension ref="B2:P83"/>
  <sheetViews>
    <sheetView showGridLines="0" showRowColHeaders="0" zoomScaleNormal="100" workbookViewId="0">
      <selection activeCell="D6" sqref="D6"/>
    </sheetView>
  </sheetViews>
  <sheetFormatPr defaultColWidth="9.140625" defaultRowHeight="15" x14ac:dyDescent="0.25"/>
  <cols>
    <col min="1" max="14" width="9.140625" style="13"/>
    <col min="15" max="16" width="3.5703125" style="13" customWidth="1"/>
    <col min="17" max="16384" width="9.140625" style="13"/>
  </cols>
  <sheetData>
    <row r="2" spans="2:16" ht="15" customHeight="1" x14ac:dyDescent="0.25">
      <c r="D2" s="310" t="str">
        <f>Tool_Name</f>
        <v>Penetration Testing Management
Maturity Assessment Tool</v>
      </c>
      <c r="E2" s="310"/>
      <c r="F2" s="310"/>
      <c r="G2" s="310"/>
      <c r="H2" s="310"/>
      <c r="I2" s="310"/>
      <c r="J2" s="310"/>
      <c r="K2" s="310"/>
      <c r="L2" s="310"/>
      <c r="M2" s="121"/>
      <c r="N2" s="121"/>
      <c r="O2" s="121"/>
      <c r="P2" s="121"/>
    </row>
    <row r="3" spans="2:16" ht="15" customHeight="1" x14ac:dyDescent="0.25">
      <c r="D3" s="310"/>
      <c r="E3" s="310"/>
      <c r="F3" s="310"/>
      <c r="G3" s="310"/>
      <c r="H3" s="310"/>
      <c r="I3" s="310"/>
      <c r="J3" s="310"/>
      <c r="K3" s="310"/>
      <c r="L3" s="310"/>
      <c r="M3" s="121"/>
      <c r="N3" s="121"/>
      <c r="O3" s="121"/>
      <c r="P3" s="121"/>
    </row>
    <row r="4" spans="2:16" ht="15" customHeight="1" x14ac:dyDescent="0.25">
      <c r="D4" s="310"/>
      <c r="E4" s="310"/>
      <c r="F4" s="310"/>
      <c r="G4" s="310"/>
      <c r="H4" s="310"/>
      <c r="I4" s="310"/>
      <c r="J4" s="310"/>
      <c r="K4" s="310"/>
      <c r="L4" s="310"/>
      <c r="M4" s="121"/>
      <c r="N4" s="121"/>
      <c r="O4" s="121"/>
      <c r="P4" s="121"/>
    </row>
    <row r="5" spans="2:16" ht="15" customHeight="1" x14ac:dyDescent="0.25">
      <c r="D5" s="310"/>
      <c r="E5" s="310"/>
      <c r="F5" s="310"/>
      <c r="G5" s="310"/>
      <c r="H5" s="310"/>
      <c r="I5" s="310"/>
      <c r="J5" s="310"/>
      <c r="K5" s="310"/>
      <c r="L5" s="310"/>
      <c r="M5" s="121"/>
      <c r="N5" s="121"/>
      <c r="O5" s="121"/>
      <c r="P5" s="121"/>
    </row>
    <row r="8" spans="2:16" ht="19.5" x14ac:dyDescent="0.3">
      <c r="B8" s="14" t="s">
        <v>7</v>
      </c>
      <c r="C8" s="12"/>
    </row>
    <row r="9" spans="2:16" x14ac:dyDescent="0.25">
      <c r="B9" s="10"/>
    </row>
    <row r="10" spans="2:16" ht="17.25" x14ac:dyDescent="0.3">
      <c r="B10" s="11" t="s">
        <v>82</v>
      </c>
    </row>
    <row r="11" spans="2:16" ht="6.75" customHeight="1" x14ac:dyDescent="0.25"/>
    <row r="12" spans="2:16" ht="15" customHeight="1" x14ac:dyDescent="0.25">
      <c r="B12" s="309" t="s">
        <v>308</v>
      </c>
      <c r="C12" s="309"/>
      <c r="D12" s="309"/>
      <c r="E12" s="309"/>
      <c r="F12" s="309"/>
      <c r="G12" s="309"/>
      <c r="H12" s="309"/>
      <c r="I12" s="309"/>
      <c r="J12" s="309"/>
      <c r="K12" s="309"/>
      <c r="L12" s="309"/>
    </row>
    <row r="13" spans="2:16" x14ac:dyDescent="0.25">
      <c r="B13" s="309"/>
      <c r="C13" s="309"/>
      <c r="D13" s="309"/>
      <c r="E13" s="309"/>
      <c r="F13" s="309"/>
      <c r="G13" s="309"/>
      <c r="H13" s="309"/>
      <c r="I13" s="309"/>
      <c r="J13" s="309"/>
      <c r="K13" s="309"/>
      <c r="L13" s="309"/>
    </row>
    <row r="15" spans="2:16" ht="15" customHeight="1" x14ac:dyDescent="0.25">
      <c r="B15" s="309" t="s">
        <v>312</v>
      </c>
      <c r="C15" s="309"/>
      <c r="D15" s="309"/>
      <c r="E15" s="309"/>
      <c r="F15" s="309"/>
      <c r="G15" s="309"/>
      <c r="H15" s="309"/>
      <c r="I15" s="309"/>
      <c r="J15" s="309"/>
      <c r="K15" s="309"/>
      <c r="L15" s="309"/>
    </row>
    <row r="16" spans="2:16" x14ac:dyDescent="0.25">
      <c r="B16" s="309"/>
      <c r="C16" s="309"/>
      <c r="D16" s="309"/>
      <c r="E16" s="309"/>
      <c r="F16" s="309"/>
      <c r="G16" s="309"/>
      <c r="H16" s="309"/>
      <c r="I16" s="309"/>
      <c r="J16" s="309"/>
      <c r="K16" s="309"/>
      <c r="L16" s="309"/>
    </row>
    <row r="17" spans="2:12" x14ac:dyDescent="0.25">
      <c r="B17" s="309"/>
      <c r="C17" s="309"/>
      <c r="D17" s="309"/>
      <c r="E17" s="309"/>
      <c r="F17" s="309"/>
      <c r="G17" s="309"/>
      <c r="H17" s="309"/>
      <c r="I17" s="309"/>
      <c r="J17" s="309"/>
      <c r="K17" s="309"/>
      <c r="L17" s="309"/>
    </row>
    <row r="18" spans="2:12" x14ac:dyDescent="0.25">
      <c r="B18" s="93"/>
      <c r="C18" s="93"/>
      <c r="D18" s="93"/>
      <c r="E18" s="93"/>
      <c r="F18" s="93"/>
      <c r="G18" s="93"/>
      <c r="H18" s="93"/>
      <c r="I18" s="93"/>
      <c r="J18" s="93"/>
      <c r="K18" s="93"/>
      <c r="L18" s="93"/>
    </row>
    <row r="34" spans="2:12" ht="15" customHeight="1" x14ac:dyDescent="0.25">
      <c r="B34" s="309" t="s">
        <v>309</v>
      </c>
      <c r="C34" s="309"/>
      <c r="D34" s="309"/>
      <c r="E34" s="309"/>
      <c r="F34" s="309"/>
      <c r="G34" s="309"/>
      <c r="H34" s="309"/>
      <c r="I34" s="309"/>
      <c r="J34" s="309"/>
      <c r="K34" s="309"/>
      <c r="L34" s="309"/>
    </row>
    <row r="35" spans="2:12" x14ac:dyDescent="0.25">
      <c r="B35" s="309"/>
      <c r="C35" s="309"/>
      <c r="D35" s="309"/>
      <c r="E35" s="309"/>
      <c r="F35" s="309"/>
      <c r="G35" s="309"/>
      <c r="H35" s="309"/>
      <c r="I35" s="309"/>
      <c r="J35" s="309"/>
      <c r="K35" s="309"/>
      <c r="L35" s="309"/>
    </row>
    <row r="36" spans="2:12" ht="38.25" customHeight="1" x14ac:dyDescent="0.25">
      <c r="B36" s="309"/>
      <c r="C36" s="309"/>
      <c r="D36" s="309"/>
      <c r="E36" s="309"/>
      <c r="F36" s="309"/>
      <c r="G36" s="309"/>
      <c r="H36" s="309"/>
      <c r="I36" s="309"/>
      <c r="J36" s="309"/>
      <c r="K36" s="309"/>
      <c r="L36" s="309"/>
    </row>
    <row r="37" spans="2:12" x14ac:dyDescent="0.25">
      <c r="B37" s="93"/>
      <c r="C37" s="93"/>
      <c r="D37" s="93"/>
      <c r="E37" s="93"/>
      <c r="F37" s="93"/>
      <c r="G37" s="93"/>
      <c r="H37" s="93"/>
      <c r="I37" s="93"/>
      <c r="J37" s="93"/>
      <c r="K37" s="93"/>
      <c r="L37" s="93"/>
    </row>
    <row r="38" spans="2:12" ht="15" customHeight="1" x14ac:dyDescent="0.25">
      <c r="B38" s="309" t="s">
        <v>94</v>
      </c>
      <c r="C38" s="309"/>
      <c r="D38" s="309"/>
      <c r="E38" s="309"/>
      <c r="F38" s="309"/>
      <c r="G38" s="309"/>
      <c r="H38" s="309"/>
      <c r="I38" s="309"/>
      <c r="J38" s="309"/>
      <c r="K38" s="309"/>
      <c r="L38" s="309"/>
    </row>
    <row r="39" spans="2:12" x14ac:dyDescent="0.25">
      <c r="B39" s="309"/>
      <c r="C39" s="309"/>
      <c r="D39" s="309"/>
      <c r="E39" s="309"/>
      <c r="F39" s="309"/>
      <c r="G39" s="309"/>
      <c r="H39" s="309"/>
      <c r="I39" s="309"/>
      <c r="J39" s="309"/>
      <c r="K39" s="309"/>
      <c r="L39" s="309"/>
    </row>
    <row r="40" spans="2:12" x14ac:dyDescent="0.25">
      <c r="B40" s="309"/>
      <c r="C40" s="309"/>
      <c r="D40" s="309"/>
      <c r="E40" s="309"/>
      <c r="F40" s="309"/>
      <c r="G40" s="309"/>
      <c r="H40" s="309"/>
      <c r="I40" s="309"/>
      <c r="J40" s="309"/>
      <c r="K40" s="309"/>
      <c r="L40" s="309"/>
    </row>
    <row r="41" spans="2:12" x14ac:dyDescent="0.25">
      <c r="B41" s="309"/>
      <c r="C41" s="309"/>
      <c r="D41" s="309"/>
      <c r="E41" s="309"/>
      <c r="F41" s="309"/>
      <c r="G41" s="309"/>
      <c r="H41" s="309"/>
      <c r="I41" s="309"/>
      <c r="J41" s="309"/>
      <c r="K41" s="309"/>
      <c r="L41" s="309"/>
    </row>
    <row r="42" spans="2:12" ht="15" customHeight="1" x14ac:dyDescent="0.25">
      <c r="B42" s="309" t="s">
        <v>310</v>
      </c>
      <c r="C42" s="309"/>
      <c r="D42" s="309"/>
      <c r="E42" s="309"/>
      <c r="F42" s="309"/>
      <c r="G42" s="309"/>
      <c r="H42" s="309"/>
      <c r="I42" s="309"/>
      <c r="J42" s="309"/>
      <c r="K42" s="309"/>
      <c r="L42" s="309"/>
    </row>
    <row r="43" spans="2:12" x14ac:dyDescent="0.25">
      <c r="B43" s="309"/>
      <c r="C43" s="309"/>
      <c r="D43" s="309"/>
      <c r="E43" s="309"/>
      <c r="F43" s="309"/>
      <c r="G43" s="309"/>
      <c r="H43" s="309"/>
      <c r="I43" s="309"/>
      <c r="J43" s="309"/>
      <c r="K43" s="309"/>
      <c r="L43" s="309"/>
    </row>
    <row r="44" spans="2:12" x14ac:dyDescent="0.25">
      <c r="B44" s="309"/>
      <c r="C44" s="309"/>
      <c r="D44" s="309"/>
      <c r="E44" s="309"/>
      <c r="F44" s="309"/>
      <c r="G44" s="309"/>
      <c r="H44" s="309"/>
      <c r="I44" s="309"/>
      <c r="J44" s="309"/>
      <c r="K44" s="309"/>
      <c r="L44" s="309"/>
    </row>
    <row r="45" spans="2:12" x14ac:dyDescent="0.25">
      <c r="B45" s="309"/>
      <c r="C45" s="309"/>
      <c r="D45" s="309"/>
      <c r="E45" s="309"/>
      <c r="F45" s="309"/>
      <c r="G45" s="309"/>
      <c r="H45" s="309"/>
      <c r="I45" s="309"/>
      <c r="J45" s="309"/>
      <c r="K45" s="309"/>
      <c r="L45" s="309"/>
    </row>
    <row r="47" spans="2:12" ht="17.25" x14ac:dyDescent="0.3">
      <c r="B47" s="11" t="s">
        <v>83</v>
      </c>
    </row>
    <row r="48" spans="2:12" ht="6.75" customHeight="1" x14ac:dyDescent="0.25"/>
    <row r="49" spans="2:12" ht="15" customHeight="1" x14ac:dyDescent="0.25">
      <c r="B49" s="311" t="s">
        <v>311</v>
      </c>
      <c r="C49" s="311"/>
      <c r="D49" s="311"/>
      <c r="E49" s="311"/>
      <c r="F49" s="311"/>
      <c r="G49" s="311"/>
      <c r="H49" s="311"/>
      <c r="I49" s="311"/>
      <c r="J49" s="311"/>
      <c r="K49" s="311"/>
      <c r="L49" s="311"/>
    </row>
    <row r="50" spans="2:12" x14ac:dyDescent="0.25">
      <c r="B50" s="311"/>
      <c r="C50" s="311"/>
      <c r="D50" s="311"/>
      <c r="E50" s="311"/>
      <c r="F50" s="311"/>
      <c r="G50" s="311"/>
      <c r="H50" s="311"/>
      <c r="I50" s="311"/>
      <c r="J50" s="311"/>
      <c r="K50" s="311"/>
      <c r="L50" s="311"/>
    </row>
    <row r="52" spans="2:12" ht="15" customHeight="1" x14ac:dyDescent="0.25">
      <c r="B52" s="311" t="s">
        <v>95</v>
      </c>
      <c r="C52" s="311"/>
      <c r="D52" s="311"/>
      <c r="E52" s="311"/>
      <c r="F52" s="311"/>
      <c r="G52" s="311"/>
      <c r="H52" s="311"/>
      <c r="I52" s="311"/>
      <c r="J52" s="311"/>
      <c r="K52" s="311"/>
      <c r="L52" s="311"/>
    </row>
    <row r="53" spans="2:12" x14ac:dyDescent="0.25">
      <c r="B53" s="311"/>
      <c r="C53" s="311"/>
      <c r="D53" s="311"/>
      <c r="E53" s="311"/>
      <c r="F53" s="311"/>
      <c r="G53" s="311"/>
      <c r="H53" s="311"/>
      <c r="I53" s="311"/>
      <c r="J53" s="311"/>
      <c r="K53" s="311"/>
      <c r="L53" s="311"/>
    </row>
    <row r="54" spans="2:12" x14ac:dyDescent="0.25">
      <c r="B54" s="311"/>
      <c r="C54" s="311"/>
      <c r="D54" s="311"/>
      <c r="E54" s="311"/>
      <c r="F54" s="311"/>
      <c r="G54" s="311"/>
      <c r="H54" s="311"/>
      <c r="I54" s="311"/>
      <c r="J54" s="311"/>
      <c r="K54" s="311"/>
      <c r="L54" s="311"/>
    </row>
    <row r="55" spans="2:12" x14ac:dyDescent="0.25">
      <c r="B55" s="311"/>
      <c r="C55" s="311"/>
      <c r="D55" s="311"/>
      <c r="E55" s="311"/>
      <c r="F55" s="311"/>
      <c r="G55" s="311"/>
      <c r="H55" s="311"/>
      <c r="I55" s="311"/>
      <c r="J55" s="311"/>
      <c r="K55" s="311"/>
      <c r="L55" s="311"/>
    </row>
    <row r="56" spans="2:12" x14ac:dyDescent="0.25">
      <c r="B56" s="252"/>
      <c r="C56" s="252"/>
      <c r="D56" s="252"/>
      <c r="E56" s="252"/>
      <c r="F56" s="252"/>
      <c r="G56" s="252"/>
      <c r="H56" s="252"/>
      <c r="I56" s="252"/>
      <c r="J56" s="252"/>
      <c r="K56" s="252"/>
      <c r="L56" s="252"/>
    </row>
    <row r="57" spans="2:12" ht="15" customHeight="1" x14ac:dyDescent="0.25">
      <c r="B57" s="309" t="s">
        <v>119</v>
      </c>
      <c r="C57" s="309"/>
      <c r="D57" s="309"/>
      <c r="E57" s="309"/>
      <c r="F57" s="309"/>
      <c r="G57" s="309"/>
      <c r="H57" s="309"/>
      <c r="I57" s="309"/>
      <c r="J57" s="309"/>
      <c r="K57" s="309"/>
      <c r="L57" s="309"/>
    </row>
    <row r="58" spans="2:12" x14ac:dyDescent="0.25">
      <c r="B58" s="309"/>
      <c r="C58" s="309"/>
      <c r="D58" s="309"/>
      <c r="E58" s="309"/>
      <c r="F58" s="309"/>
      <c r="G58" s="309"/>
      <c r="H58" s="309"/>
      <c r="I58" s="309"/>
      <c r="J58" s="309"/>
      <c r="K58" s="309"/>
      <c r="L58" s="309"/>
    </row>
    <row r="59" spans="2:12" x14ac:dyDescent="0.25">
      <c r="B59" s="309"/>
      <c r="C59" s="309"/>
      <c r="D59" s="309"/>
      <c r="E59" s="309"/>
      <c r="F59" s="309"/>
      <c r="G59" s="309"/>
      <c r="H59" s="309"/>
      <c r="I59" s="309"/>
      <c r="J59" s="309"/>
      <c r="K59" s="309"/>
      <c r="L59" s="309"/>
    </row>
    <row r="60" spans="2:12" x14ac:dyDescent="0.25">
      <c r="B60" s="93"/>
      <c r="C60" s="93"/>
      <c r="D60" s="93"/>
      <c r="E60" s="93"/>
      <c r="F60" s="93"/>
      <c r="G60" s="93"/>
      <c r="H60" s="93"/>
      <c r="I60" s="93"/>
      <c r="J60" s="93"/>
      <c r="K60" s="93"/>
      <c r="L60" s="93"/>
    </row>
    <row r="61" spans="2:12" ht="15" customHeight="1" x14ac:dyDescent="0.25">
      <c r="B61" s="309" t="s">
        <v>221</v>
      </c>
      <c r="C61" s="309"/>
      <c r="D61" s="309"/>
      <c r="E61" s="309"/>
      <c r="F61" s="309"/>
      <c r="G61" s="309"/>
      <c r="H61" s="309"/>
      <c r="I61" s="309"/>
      <c r="J61" s="309"/>
      <c r="K61" s="309"/>
      <c r="L61" s="309"/>
    </row>
    <row r="62" spans="2:12" ht="15" customHeight="1" x14ac:dyDescent="0.25">
      <c r="B62" s="309"/>
      <c r="C62" s="309"/>
      <c r="D62" s="309"/>
      <c r="E62" s="309"/>
      <c r="F62" s="309"/>
      <c r="G62" s="309"/>
      <c r="H62" s="309"/>
      <c r="I62" s="309"/>
      <c r="J62" s="309"/>
      <c r="K62" s="309"/>
      <c r="L62" s="309"/>
    </row>
    <row r="63" spans="2:12" ht="15" customHeight="1" x14ac:dyDescent="0.25">
      <c r="B63" s="309"/>
      <c r="C63" s="309"/>
      <c r="D63" s="309"/>
      <c r="E63" s="309"/>
      <c r="F63" s="309"/>
      <c r="G63" s="309"/>
      <c r="H63" s="309"/>
      <c r="I63" s="309"/>
      <c r="J63" s="309"/>
      <c r="K63" s="309"/>
      <c r="L63" s="309"/>
    </row>
    <row r="64" spans="2:12" ht="15" customHeight="1" x14ac:dyDescent="0.25">
      <c r="B64" s="309"/>
      <c r="C64" s="309"/>
      <c r="D64" s="309"/>
      <c r="E64" s="309"/>
      <c r="F64" s="309"/>
      <c r="G64" s="309"/>
      <c r="H64" s="309"/>
      <c r="I64" s="309"/>
      <c r="J64" s="309"/>
      <c r="K64" s="309"/>
      <c r="L64" s="309"/>
    </row>
    <row r="65" spans="2:12" ht="15" customHeight="1" x14ac:dyDescent="0.25">
      <c r="B65" s="309"/>
      <c r="C65" s="309"/>
      <c r="D65" s="309"/>
      <c r="E65" s="309"/>
      <c r="F65" s="309"/>
      <c r="G65" s="309"/>
      <c r="H65" s="309"/>
      <c r="I65" s="309"/>
      <c r="J65" s="309"/>
      <c r="K65" s="309"/>
      <c r="L65" s="309"/>
    </row>
    <row r="66" spans="2:12" ht="15" customHeight="1" x14ac:dyDescent="0.25">
      <c r="B66" s="309"/>
      <c r="C66" s="309"/>
      <c r="D66" s="309"/>
      <c r="E66" s="309"/>
      <c r="F66" s="309"/>
      <c r="G66" s="309"/>
      <c r="H66" s="309"/>
      <c r="I66" s="309"/>
      <c r="J66" s="309"/>
      <c r="K66" s="309"/>
      <c r="L66" s="309"/>
    </row>
    <row r="67" spans="2:12" ht="15" customHeight="1" x14ac:dyDescent="0.25">
      <c r="B67" s="309"/>
      <c r="C67" s="309"/>
      <c r="D67" s="309"/>
      <c r="E67" s="309"/>
      <c r="F67" s="309"/>
      <c r="G67" s="309"/>
      <c r="H67" s="309"/>
      <c r="I67" s="309"/>
      <c r="J67" s="309"/>
      <c r="K67" s="309"/>
      <c r="L67" s="309"/>
    </row>
    <row r="68" spans="2:12" x14ac:dyDescent="0.25">
      <c r="B68" s="309"/>
      <c r="C68" s="309"/>
      <c r="D68" s="309"/>
      <c r="E68" s="309"/>
      <c r="F68" s="309"/>
      <c r="G68" s="309"/>
      <c r="H68" s="309"/>
      <c r="I68" s="309"/>
      <c r="J68" s="309"/>
      <c r="K68" s="309"/>
      <c r="L68" s="309"/>
    </row>
    <row r="69" spans="2:12" x14ac:dyDescent="0.25">
      <c r="B69" s="309"/>
      <c r="C69" s="309"/>
      <c r="D69" s="309"/>
      <c r="E69" s="309"/>
      <c r="F69" s="309"/>
      <c r="G69" s="309"/>
      <c r="H69" s="309"/>
      <c r="I69" s="309"/>
      <c r="J69" s="309"/>
      <c r="K69" s="309"/>
      <c r="L69" s="309"/>
    </row>
    <row r="70" spans="2:12" ht="49.5" customHeight="1" x14ac:dyDescent="0.25">
      <c r="B70" s="309"/>
      <c r="C70" s="309"/>
      <c r="D70" s="309"/>
      <c r="E70" s="309"/>
      <c r="F70" s="309"/>
      <c r="G70" s="309"/>
      <c r="H70" s="309"/>
      <c r="I70" s="309"/>
      <c r="J70" s="309"/>
      <c r="K70" s="309"/>
      <c r="L70" s="309"/>
    </row>
    <row r="72" spans="2:12" ht="15" customHeight="1" x14ac:dyDescent="0.25">
      <c r="B72" s="309" t="s">
        <v>324</v>
      </c>
      <c r="C72" s="309"/>
      <c r="D72" s="309"/>
      <c r="E72" s="309"/>
      <c r="F72" s="309"/>
      <c r="G72" s="309"/>
      <c r="H72" s="309"/>
      <c r="I72" s="309"/>
      <c r="J72" s="309"/>
      <c r="K72" s="309"/>
      <c r="L72" s="309"/>
    </row>
    <row r="73" spans="2:12" ht="15" customHeight="1" x14ac:dyDescent="0.25">
      <c r="B73" s="309"/>
      <c r="C73" s="309"/>
      <c r="D73" s="309"/>
      <c r="E73" s="309"/>
      <c r="F73" s="309"/>
      <c r="G73" s="309"/>
      <c r="H73" s="309"/>
      <c r="I73" s="309"/>
      <c r="J73" s="309"/>
      <c r="K73" s="309"/>
      <c r="L73" s="309"/>
    </row>
    <row r="74" spans="2:12" x14ac:dyDescent="0.25">
      <c r="B74" s="309"/>
      <c r="C74" s="309"/>
      <c r="D74" s="309"/>
      <c r="E74" s="309"/>
      <c r="F74" s="309"/>
      <c r="G74" s="309"/>
      <c r="H74" s="309"/>
      <c r="I74" s="309"/>
      <c r="J74" s="309"/>
      <c r="K74" s="309"/>
      <c r="L74" s="309"/>
    </row>
    <row r="75" spans="2:12" x14ac:dyDescent="0.25">
      <c r="B75" s="309"/>
      <c r="C75" s="309"/>
      <c r="D75" s="309"/>
      <c r="E75" s="309"/>
      <c r="F75" s="309"/>
      <c r="G75" s="309"/>
      <c r="H75" s="309"/>
      <c r="I75" s="309"/>
      <c r="J75" s="309"/>
      <c r="K75" s="309"/>
      <c r="L75" s="309"/>
    </row>
    <row r="76" spans="2:12" x14ac:dyDescent="0.25">
      <c r="B76" s="309"/>
      <c r="C76" s="309"/>
      <c r="D76" s="309"/>
      <c r="E76" s="309"/>
      <c r="F76" s="309"/>
      <c r="G76" s="309"/>
      <c r="H76" s="309"/>
      <c r="I76" s="309"/>
      <c r="J76" s="309"/>
      <c r="K76" s="309"/>
      <c r="L76" s="309"/>
    </row>
    <row r="78" spans="2:12" x14ac:dyDescent="0.25">
      <c r="B78" s="309" t="s">
        <v>325</v>
      </c>
      <c r="C78" s="309"/>
      <c r="D78" s="309"/>
      <c r="E78" s="309"/>
      <c r="F78" s="309"/>
      <c r="G78" s="309"/>
      <c r="H78" s="309"/>
      <c r="I78" s="309"/>
      <c r="J78" s="309"/>
      <c r="K78" s="309"/>
      <c r="L78" s="309"/>
    </row>
    <row r="79" spans="2:12" x14ac:dyDescent="0.25">
      <c r="B79" s="309"/>
      <c r="C79" s="309"/>
      <c r="D79" s="309"/>
      <c r="E79" s="309"/>
      <c r="F79" s="309"/>
      <c r="G79" s="309"/>
      <c r="H79" s="309"/>
      <c r="I79" s="309"/>
      <c r="J79" s="309"/>
      <c r="K79" s="309"/>
      <c r="L79" s="309"/>
    </row>
    <row r="80" spans="2:12" x14ac:dyDescent="0.25">
      <c r="B80" s="309"/>
      <c r="C80" s="309"/>
      <c r="D80" s="309"/>
      <c r="E80" s="309"/>
      <c r="F80" s="309"/>
      <c r="G80" s="309"/>
      <c r="H80" s="309"/>
      <c r="I80" s="309"/>
      <c r="J80" s="309"/>
      <c r="K80" s="309"/>
      <c r="L80" s="309"/>
    </row>
    <row r="81" spans="2:12" x14ac:dyDescent="0.25">
      <c r="B81" s="115"/>
      <c r="C81" s="115"/>
      <c r="D81" s="115"/>
      <c r="E81" s="115"/>
      <c r="F81" s="115"/>
      <c r="G81" s="115"/>
      <c r="H81" s="115"/>
      <c r="I81" s="115"/>
      <c r="J81" s="115"/>
      <c r="K81" s="115"/>
      <c r="L81" s="115"/>
    </row>
    <row r="82" spans="2:12" x14ac:dyDescent="0.25">
      <c r="B82" s="309" t="s">
        <v>326</v>
      </c>
      <c r="C82" s="309"/>
      <c r="D82" s="309"/>
      <c r="E82" s="309"/>
      <c r="F82" s="309"/>
      <c r="G82" s="309"/>
      <c r="H82" s="309"/>
      <c r="I82" s="309"/>
      <c r="J82" s="309"/>
      <c r="K82" s="309"/>
      <c r="L82" s="309"/>
    </row>
    <row r="83" spans="2:12" x14ac:dyDescent="0.25">
      <c r="B83" s="309"/>
      <c r="C83" s="309"/>
      <c r="D83" s="309"/>
      <c r="E83" s="309"/>
      <c r="F83" s="309"/>
      <c r="G83" s="309"/>
      <c r="H83" s="309"/>
      <c r="I83" s="309"/>
      <c r="J83" s="309"/>
      <c r="K83" s="309"/>
      <c r="L83" s="309"/>
    </row>
  </sheetData>
  <sheetProtection algorithmName="SHA-512" hashValue="3Ls8UoV7NrxmOUpASzEHhRB5KojMNpubsPM7Ab9X+OyJJZ9CrWNEbeV1nQD/Ty5a0lvXJJd6XAQT5dmHUG3ATQ==" saltValue="4JCjpcaRuSPBVnFD0qJwqA==" spinCount="100000" sheet="1" objects="1" scenarios="1"/>
  <mergeCells count="13">
    <mergeCell ref="D2:L5"/>
    <mergeCell ref="B78:L80"/>
    <mergeCell ref="B82:L83"/>
    <mergeCell ref="B49:L50"/>
    <mergeCell ref="B52:L55"/>
    <mergeCell ref="B57:L59"/>
    <mergeCell ref="B61:L70"/>
    <mergeCell ref="B72:L76"/>
    <mergeCell ref="B42:L45"/>
    <mergeCell ref="B12:L13"/>
    <mergeCell ref="B15:L17"/>
    <mergeCell ref="B34:L36"/>
    <mergeCell ref="B38:L41"/>
  </mergeCells>
  <pageMargins left="0.7" right="0.7" top="0.75" bottom="0.75" header="0.3" footer="0.3"/>
  <pageSetup paperSize="9" scale="69" fitToHeight="0" orientation="portrait" horizontalDpi="4294967293" r:id="rId1"/>
  <rowBreaks count="1" manualBreakCount="1">
    <brk id="45" max="1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FFFF00"/>
    <pageSetUpPr autoPageBreaks="0" fitToPage="1"/>
  </sheetPr>
  <dimension ref="A1:P27"/>
  <sheetViews>
    <sheetView showGridLines="0" showRowColHeaders="0" topLeftCell="C1" zoomScaleNormal="100" zoomScaleSheetLayoutView="25" workbookViewId="0">
      <pane ySplit="2" topLeftCell="A3" activePane="bottomLeft" state="frozen"/>
      <selection activeCell="D1" sqref="D1"/>
      <selection pane="bottomLeft" activeCell="F5" sqref="F5:G5"/>
    </sheetView>
  </sheetViews>
  <sheetFormatPr defaultColWidth="9.140625" defaultRowHeight="12.75" x14ac:dyDescent="0.2"/>
  <cols>
    <col min="1" max="1" width="10.28515625" style="5" hidden="1" customWidth="1"/>
    <col min="2" max="2" width="7.5703125" style="4" hidden="1" customWidth="1"/>
    <col min="3" max="3" width="6.28515625" style="4" customWidth="1"/>
    <col min="4" max="4" width="6.28515625" style="5" customWidth="1"/>
    <col min="5" max="5" width="57.5703125" style="5" customWidth="1"/>
    <col min="6" max="7" width="32.7109375" style="5" customWidth="1"/>
    <col min="8" max="8" width="6.140625" style="5" customWidth="1"/>
    <col min="9" max="9" width="32.7109375" style="5" customWidth="1"/>
    <col min="10" max="10" width="9.140625" style="48" hidden="1" customWidth="1"/>
    <col min="11" max="16384" width="9.140625" style="5"/>
  </cols>
  <sheetData>
    <row r="1" spans="3:16" s="15" customFormat="1" ht="89.25" customHeight="1" x14ac:dyDescent="0.2">
      <c r="E1" s="312" t="str">
        <f>Tool_Name</f>
        <v>Penetration Testing Management
Maturity Assessment Tool</v>
      </c>
      <c r="F1" s="312"/>
      <c r="G1" s="312"/>
      <c r="J1" s="61"/>
    </row>
    <row r="2" spans="3:16" s="1" customFormat="1" ht="22.5" hidden="1" customHeight="1" x14ac:dyDescent="0.2">
      <c r="E2" s="2"/>
      <c r="F2" s="3"/>
      <c r="G2" s="4"/>
      <c r="H2" s="4"/>
      <c r="I2" s="4"/>
      <c r="J2" s="62"/>
      <c r="K2" s="4"/>
      <c r="L2" s="4"/>
      <c r="M2" s="4"/>
      <c r="N2" s="4"/>
      <c r="O2" s="4"/>
      <c r="P2" s="4"/>
    </row>
    <row r="3" spans="3:16" s="16" customFormat="1" ht="40.5" customHeight="1" x14ac:dyDescent="0.25">
      <c r="E3" s="17" t="s">
        <v>219</v>
      </c>
      <c r="F3" s="51"/>
      <c r="G3" s="18"/>
      <c r="H3" s="18"/>
      <c r="I3" s="18"/>
      <c r="J3" s="63"/>
      <c r="K3" s="18"/>
      <c r="L3" s="18"/>
      <c r="M3" s="18"/>
      <c r="N3" s="18"/>
      <c r="O3" s="18"/>
      <c r="P3" s="18"/>
    </row>
    <row r="4" spans="3:16" s="41" customFormat="1" ht="9.75" customHeight="1" x14ac:dyDescent="0.2">
      <c r="C4" s="42"/>
      <c r="D4" s="42"/>
      <c r="E4" s="43"/>
      <c r="F4" s="44"/>
      <c r="G4" s="45"/>
      <c r="H4" s="45"/>
      <c r="I4" s="45"/>
      <c r="J4" s="64"/>
      <c r="K4" s="45"/>
      <c r="L4" s="45"/>
      <c r="M4" s="45"/>
      <c r="N4" s="45"/>
      <c r="O4" s="45"/>
    </row>
    <row r="5" spans="3:16" s="1" customFormat="1" ht="24.95" customHeight="1" x14ac:dyDescent="0.25">
      <c r="C5" s="46"/>
      <c r="D5" s="47" t="s">
        <v>122</v>
      </c>
      <c r="E5" s="47" t="s">
        <v>120</v>
      </c>
      <c r="F5" s="313"/>
      <c r="G5" s="314"/>
      <c r="H5" s="5"/>
      <c r="I5" s="5"/>
      <c r="J5" s="48"/>
      <c r="K5" s="5"/>
      <c r="L5" s="5"/>
      <c r="M5" s="5"/>
      <c r="N5" s="5"/>
      <c r="O5" s="5"/>
    </row>
    <row r="6" spans="3:16" s="37" customFormat="1" ht="9.75" customHeight="1" x14ac:dyDescent="0.2">
      <c r="C6" s="38"/>
      <c r="D6" s="38"/>
      <c r="E6" s="39"/>
      <c r="F6" s="40"/>
      <c r="G6" s="15"/>
      <c r="H6" s="15"/>
      <c r="I6" s="15"/>
      <c r="J6" s="61"/>
      <c r="K6" s="15"/>
      <c r="L6" s="15"/>
      <c r="M6" s="15"/>
      <c r="N6" s="15"/>
      <c r="O6" s="15"/>
    </row>
    <row r="7" spans="3:16" s="41" customFormat="1" ht="9.75" customHeight="1" x14ac:dyDescent="0.2">
      <c r="C7" s="42"/>
      <c r="D7" s="42"/>
      <c r="E7" s="43"/>
      <c r="F7" s="44"/>
      <c r="G7" s="45"/>
      <c r="H7" s="45"/>
      <c r="I7" s="45"/>
      <c r="J7" s="64"/>
      <c r="K7" s="45"/>
      <c r="L7" s="45"/>
      <c r="M7" s="45"/>
      <c r="N7" s="45"/>
      <c r="O7" s="45"/>
    </row>
    <row r="8" spans="3:16" s="1" customFormat="1" ht="24.95" customHeight="1" x14ac:dyDescent="0.25">
      <c r="C8" s="46"/>
      <c r="D8" s="47" t="s">
        <v>123</v>
      </c>
      <c r="E8" s="47" t="s">
        <v>121</v>
      </c>
      <c r="F8" s="313"/>
      <c r="G8" s="314"/>
      <c r="H8" s="5"/>
      <c r="I8" s="5"/>
      <c r="J8" s="48"/>
      <c r="K8" s="5"/>
      <c r="L8" s="5"/>
      <c r="M8" s="5"/>
      <c r="N8" s="5"/>
      <c r="O8" s="5"/>
    </row>
    <row r="9" spans="3:16" s="37" customFormat="1" ht="9.75" customHeight="1" x14ac:dyDescent="0.2">
      <c r="C9" s="38"/>
      <c r="D9" s="38"/>
      <c r="E9" s="39"/>
      <c r="F9" s="40"/>
      <c r="G9" s="15"/>
      <c r="H9" s="15"/>
      <c r="I9" s="15"/>
      <c r="J9" s="61"/>
      <c r="K9" s="15"/>
      <c r="L9" s="15"/>
      <c r="M9" s="15"/>
      <c r="N9" s="15"/>
      <c r="O9" s="15"/>
    </row>
    <row r="10" spans="3:16" s="41" customFormat="1" ht="9.75" customHeight="1" x14ac:dyDescent="0.2">
      <c r="C10" s="42"/>
      <c r="D10" s="42"/>
      <c r="E10" s="43"/>
      <c r="F10" s="44"/>
      <c r="G10" s="45"/>
      <c r="H10" s="45"/>
      <c r="I10" s="45"/>
      <c r="J10" s="64"/>
      <c r="K10" s="45"/>
      <c r="L10" s="45"/>
      <c r="M10" s="45"/>
      <c r="N10" s="45"/>
      <c r="O10" s="45"/>
    </row>
    <row r="11" spans="3:16" s="1" customFormat="1" ht="24.95" customHeight="1" x14ac:dyDescent="0.25">
      <c r="C11" s="46"/>
      <c r="D11" s="47" t="s">
        <v>124</v>
      </c>
      <c r="E11" s="47" t="s">
        <v>66</v>
      </c>
      <c r="F11" s="313"/>
      <c r="G11" s="314"/>
      <c r="H11" s="5"/>
      <c r="I11" s="5"/>
      <c r="J11" s="48"/>
      <c r="K11" s="5"/>
      <c r="L11" s="5"/>
      <c r="M11" s="5"/>
      <c r="N11" s="5"/>
      <c r="O11" s="5"/>
    </row>
    <row r="12" spans="3:16" s="37" customFormat="1" ht="9.75" customHeight="1" x14ac:dyDescent="0.2">
      <c r="C12" s="38"/>
      <c r="D12" s="38"/>
      <c r="E12" s="39"/>
      <c r="F12" s="40"/>
      <c r="G12" s="15"/>
      <c r="H12" s="15"/>
      <c r="I12" s="15"/>
      <c r="J12" s="61"/>
      <c r="K12" s="15"/>
      <c r="L12" s="15"/>
      <c r="M12" s="15"/>
      <c r="N12" s="15"/>
      <c r="O12" s="15"/>
    </row>
    <row r="13" spans="3:16" s="41" customFormat="1" ht="9.75" customHeight="1" x14ac:dyDescent="0.2">
      <c r="C13" s="42"/>
      <c r="D13" s="42"/>
      <c r="E13" s="43"/>
      <c r="F13" s="44"/>
      <c r="G13" s="45"/>
      <c r="H13" s="45"/>
      <c r="I13" s="45"/>
      <c r="J13" s="64"/>
      <c r="K13" s="45"/>
      <c r="L13" s="45"/>
      <c r="M13" s="45"/>
      <c r="N13" s="45"/>
      <c r="O13" s="45"/>
    </row>
    <row r="14" spans="3:16" s="1" customFormat="1" ht="24.95" customHeight="1" x14ac:dyDescent="0.25">
      <c r="C14" s="46"/>
      <c r="D14" s="47" t="s">
        <v>125</v>
      </c>
      <c r="E14" s="47" t="s">
        <v>63</v>
      </c>
      <c r="F14" s="313"/>
      <c r="G14" s="314"/>
      <c r="H14" s="5"/>
      <c r="I14" s="5"/>
      <c r="J14" s="48"/>
      <c r="K14" s="5"/>
      <c r="L14" s="5"/>
      <c r="M14" s="5"/>
      <c r="N14" s="5"/>
      <c r="O14" s="5"/>
    </row>
    <row r="15" spans="3:16" s="37" customFormat="1" ht="9.75" customHeight="1" x14ac:dyDescent="0.2">
      <c r="C15" s="38"/>
      <c r="D15" s="38"/>
      <c r="E15" s="39"/>
      <c r="F15" s="40"/>
      <c r="G15" s="15"/>
      <c r="H15" s="15"/>
      <c r="I15" s="15"/>
      <c r="J15" s="61"/>
      <c r="K15" s="15"/>
      <c r="L15" s="15"/>
      <c r="M15" s="15"/>
      <c r="N15" s="15"/>
      <c r="O15" s="15"/>
    </row>
    <row r="16" spans="3:16" s="41" customFormat="1" ht="9.75" customHeight="1" x14ac:dyDescent="0.2">
      <c r="C16" s="42"/>
      <c r="D16" s="42"/>
      <c r="E16" s="43"/>
      <c r="F16" s="44"/>
      <c r="G16" s="45"/>
      <c r="H16" s="45"/>
      <c r="I16" s="45"/>
      <c r="J16" s="64"/>
      <c r="K16" s="45"/>
      <c r="L16" s="45"/>
      <c r="M16" s="45"/>
      <c r="N16" s="45"/>
      <c r="O16" s="45"/>
    </row>
    <row r="17" spans="3:15" s="1" customFormat="1" ht="24.95" customHeight="1" x14ac:dyDescent="0.25">
      <c r="C17" s="46"/>
      <c r="D17" s="47" t="s">
        <v>126</v>
      </c>
      <c r="E17" s="47" t="s">
        <v>64</v>
      </c>
      <c r="F17" s="13"/>
      <c r="G17" s="13"/>
      <c r="H17" s="5"/>
      <c r="I17" s="5"/>
      <c r="J17" s="48">
        <v>1</v>
      </c>
      <c r="K17" s="5"/>
      <c r="L17" s="5"/>
      <c r="M17" s="5"/>
      <c r="N17" s="5"/>
      <c r="O17" s="5"/>
    </row>
    <row r="18" spans="3:15" s="37" customFormat="1" ht="9.75" customHeight="1" x14ac:dyDescent="0.2">
      <c r="C18" s="38"/>
      <c r="D18" s="38"/>
      <c r="E18" s="39"/>
      <c r="F18" s="40"/>
      <c r="G18" s="15"/>
      <c r="H18" s="15"/>
      <c r="I18" s="15"/>
      <c r="J18" s="61"/>
      <c r="K18" s="15"/>
      <c r="L18" s="15"/>
      <c r="M18" s="15"/>
      <c r="N18" s="15"/>
      <c r="O18" s="15"/>
    </row>
    <row r="19" spans="3:15" s="41" customFormat="1" ht="9.75" customHeight="1" x14ac:dyDescent="0.2">
      <c r="C19" s="42"/>
      <c r="D19" s="42"/>
      <c r="E19" s="43"/>
      <c r="F19" s="44"/>
      <c r="G19" s="45"/>
      <c r="H19" s="45"/>
      <c r="I19" s="45"/>
      <c r="J19" s="64"/>
      <c r="K19" s="45"/>
      <c r="L19" s="45"/>
      <c r="M19" s="45"/>
      <c r="N19" s="45"/>
      <c r="O19" s="45"/>
    </row>
    <row r="20" spans="3:15" s="1" customFormat="1" ht="24.95" customHeight="1" x14ac:dyDescent="0.25">
      <c r="C20" s="46"/>
      <c r="D20" s="47" t="s">
        <v>127</v>
      </c>
      <c r="E20" s="47" t="s">
        <v>130</v>
      </c>
      <c r="F20" s="13"/>
      <c r="G20" s="13"/>
      <c r="H20" s="5"/>
      <c r="I20" s="5"/>
      <c r="J20" s="48">
        <v>1</v>
      </c>
      <c r="K20" s="5"/>
      <c r="L20" s="5"/>
      <c r="M20" s="5"/>
      <c r="N20" s="5"/>
      <c r="O20" s="5"/>
    </row>
    <row r="21" spans="3:15" s="37" customFormat="1" ht="9.75" customHeight="1" x14ac:dyDescent="0.2">
      <c r="C21" s="38"/>
      <c r="D21" s="38"/>
      <c r="E21" s="39"/>
      <c r="F21" s="40"/>
      <c r="G21" s="15"/>
      <c r="H21" s="15"/>
      <c r="I21" s="15"/>
      <c r="J21" s="61"/>
      <c r="K21" s="15"/>
      <c r="L21" s="15"/>
      <c r="M21" s="15"/>
      <c r="N21" s="15"/>
      <c r="O21" s="15"/>
    </row>
    <row r="22" spans="3:15" s="41" customFormat="1" ht="9.75" customHeight="1" x14ac:dyDescent="0.2">
      <c r="C22" s="42"/>
      <c r="D22" s="42"/>
      <c r="E22" s="43"/>
      <c r="F22" s="44"/>
      <c r="G22" s="45"/>
      <c r="H22" s="45"/>
      <c r="I22" s="45"/>
      <c r="J22" s="64"/>
      <c r="K22" s="45"/>
      <c r="L22" s="45"/>
      <c r="M22" s="45"/>
      <c r="N22" s="45"/>
      <c r="O22" s="45"/>
    </row>
    <row r="23" spans="3:15" s="1" customFormat="1" ht="24.95" customHeight="1" x14ac:dyDescent="0.25">
      <c r="C23" s="46"/>
      <c r="D23" s="47" t="s">
        <v>128</v>
      </c>
      <c r="E23" s="47" t="s">
        <v>140</v>
      </c>
      <c r="F23" s="13"/>
      <c r="G23" s="13"/>
      <c r="H23" s="5"/>
      <c r="I23" s="5"/>
      <c r="J23" s="48">
        <v>1</v>
      </c>
      <c r="K23" s="5"/>
      <c r="L23" s="5"/>
      <c r="M23" s="5"/>
      <c r="N23" s="5"/>
      <c r="O23" s="5"/>
    </row>
    <row r="24" spans="3:15" s="37" customFormat="1" ht="9.75" customHeight="1" x14ac:dyDescent="0.2">
      <c r="C24" s="38"/>
      <c r="D24" s="38"/>
      <c r="E24" s="39"/>
      <c r="F24" s="40"/>
      <c r="G24" s="15"/>
      <c r="H24" s="15"/>
      <c r="I24" s="15"/>
      <c r="J24" s="61"/>
      <c r="K24" s="15"/>
      <c r="L24" s="15"/>
      <c r="M24" s="15"/>
      <c r="N24" s="15"/>
      <c r="O24" s="15"/>
    </row>
    <row r="25" spans="3:15" s="41" customFormat="1" ht="9.75" customHeight="1" x14ac:dyDescent="0.2">
      <c r="C25" s="42"/>
      <c r="D25" s="42"/>
      <c r="E25" s="43"/>
      <c r="F25" s="44"/>
      <c r="G25" s="45"/>
      <c r="H25" s="45"/>
      <c r="I25" s="45"/>
      <c r="J25" s="64"/>
      <c r="K25" s="45"/>
      <c r="L25" s="45"/>
      <c r="M25" s="45"/>
      <c r="N25" s="45"/>
      <c r="O25" s="45"/>
    </row>
    <row r="26" spans="3:15" s="1" customFormat="1" ht="24.95" customHeight="1" x14ac:dyDescent="0.25">
      <c r="C26" s="46"/>
      <c r="D26" s="47" t="s">
        <v>129</v>
      </c>
      <c r="E26" s="47" t="s">
        <v>65</v>
      </c>
      <c r="F26" s="186"/>
      <c r="G26" s="13"/>
      <c r="H26" s="5"/>
      <c r="I26" s="5"/>
      <c r="J26" s="48"/>
      <c r="K26" s="5"/>
      <c r="L26" s="5"/>
      <c r="M26" s="5"/>
      <c r="N26" s="5"/>
      <c r="O26" s="5"/>
    </row>
    <row r="27" spans="3:15" s="37" customFormat="1" ht="9.75" customHeight="1" x14ac:dyDescent="0.2">
      <c r="C27" s="38"/>
      <c r="D27" s="38"/>
      <c r="E27" s="39"/>
      <c r="F27" s="40"/>
      <c r="G27" s="15"/>
      <c r="H27" s="15"/>
      <c r="I27" s="15"/>
      <c r="J27" s="61"/>
      <c r="K27" s="15"/>
      <c r="L27" s="15"/>
      <c r="M27" s="15"/>
      <c r="N27" s="15"/>
      <c r="O27" s="15"/>
    </row>
  </sheetData>
  <sheetProtection algorithmName="SHA-512" hashValue="hbrgsmoSlc3PzYJRv8ZJKSj0tZu1yFAiquMs7haBBNpgjfN7IkNf2qKaevpV8iyq465V9vNnLLzUBMaw7i9rpw==" saltValue="OdAApaKrssRnb7Gmap8vIA==" spinCount="100000" sheet="1" objects="1" scenarios="1" selectLockedCells="1"/>
  <dataConsolidate/>
  <mergeCells count="5">
    <mergeCell ref="E1:G1"/>
    <mergeCell ref="F5:G5"/>
    <mergeCell ref="F8:G8"/>
    <mergeCell ref="F11:G11"/>
    <mergeCell ref="F14:G14"/>
  </mergeCells>
  <conditionalFormatting sqref="A14:C14 H14:XFD14 E14">
    <cfRule type="expression" dxfId="83" priority="239" stopIfTrue="1">
      <formula>#REF!=11</formula>
    </cfRule>
    <cfRule type="expression" dxfId="82" priority="240">
      <formula>LEN(#REF!)=0</formula>
    </cfRule>
  </conditionalFormatting>
  <conditionalFormatting sqref="A13:XFD13">
    <cfRule type="expression" dxfId="81" priority="237" stopIfTrue="1">
      <formula>#REF!=11</formula>
    </cfRule>
    <cfRule type="expression" dxfId="80" priority="238">
      <formula>LEN(#REF!)=0</formula>
    </cfRule>
  </conditionalFormatting>
  <conditionalFormatting sqref="A15:XFD15">
    <cfRule type="expression" dxfId="79" priority="235" stopIfTrue="1">
      <formula>#REF!=11</formula>
    </cfRule>
    <cfRule type="expression" dxfId="78" priority="236">
      <formula>LEN(#REF!)=0</formula>
    </cfRule>
  </conditionalFormatting>
  <conditionalFormatting sqref="H5:XFD5 A5:E5">
    <cfRule type="expression" dxfId="77" priority="209" stopIfTrue="1">
      <formula>#REF!=11</formula>
    </cfRule>
    <cfRule type="expression" dxfId="76" priority="210">
      <formula>LEN(#REF!)=0</formula>
    </cfRule>
  </conditionalFormatting>
  <conditionalFormatting sqref="A4:XFD4">
    <cfRule type="expression" dxfId="75" priority="207" stopIfTrue="1">
      <formula>#REF!=11</formula>
    </cfRule>
    <cfRule type="expression" dxfId="74" priority="208">
      <formula>LEN(#REF!)=0</formula>
    </cfRule>
  </conditionalFormatting>
  <conditionalFormatting sqref="A6:XFD6">
    <cfRule type="expression" dxfId="73" priority="205" stopIfTrue="1">
      <formula>#REF!=11</formula>
    </cfRule>
    <cfRule type="expression" dxfId="72" priority="206">
      <formula>LEN(#REF!)=0</formula>
    </cfRule>
  </conditionalFormatting>
  <conditionalFormatting sqref="F5">
    <cfRule type="expression" dxfId="71" priority="203" stopIfTrue="1">
      <formula>#REF!=11</formula>
    </cfRule>
    <cfRule type="expression" dxfId="70" priority="204">
      <formula>LEN(#REF!)=0</formula>
    </cfRule>
  </conditionalFormatting>
  <conditionalFormatting sqref="A8:C8 H8:XFD8 E8">
    <cfRule type="expression" dxfId="69" priority="201" stopIfTrue="1">
      <formula>#REF!=11</formula>
    </cfRule>
    <cfRule type="expression" dxfId="68" priority="202">
      <formula>LEN(#REF!)=0</formula>
    </cfRule>
  </conditionalFormatting>
  <conditionalFormatting sqref="A7:XFD7">
    <cfRule type="expression" dxfId="67" priority="199" stopIfTrue="1">
      <formula>#REF!=11</formula>
    </cfRule>
    <cfRule type="expression" dxfId="66" priority="200">
      <formula>LEN(#REF!)=0</formula>
    </cfRule>
  </conditionalFormatting>
  <conditionalFormatting sqref="A9:XFD9">
    <cfRule type="expression" dxfId="65" priority="197" stopIfTrue="1">
      <formula>#REF!=11</formula>
    </cfRule>
    <cfRule type="expression" dxfId="64" priority="198">
      <formula>LEN(#REF!)=0</formula>
    </cfRule>
  </conditionalFormatting>
  <conditionalFormatting sqref="A11:C11 H11:XFD11 E11">
    <cfRule type="expression" dxfId="63" priority="193" stopIfTrue="1">
      <formula>#REF!=11</formula>
    </cfRule>
    <cfRule type="expression" dxfId="62" priority="194">
      <formula>LEN(#REF!)=0</formula>
    </cfRule>
  </conditionalFormatting>
  <conditionalFormatting sqref="A10:XFD10">
    <cfRule type="expression" dxfId="61" priority="191" stopIfTrue="1">
      <formula>#REF!=11</formula>
    </cfRule>
    <cfRule type="expression" dxfId="60" priority="192">
      <formula>LEN(#REF!)=0</formula>
    </cfRule>
  </conditionalFormatting>
  <conditionalFormatting sqref="A12:XFD12">
    <cfRule type="expression" dxfId="59" priority="189" stopIfTrue="1">
      <formula>#REF!=11</formula>
    </cfRule>
    <cfRule type="expression" dxfId="58" priority="190">
      <formula>LEN(#REF!)=0</formula>
    </cfRule>
  </conditionalFormatting>
  <conditionalFormatting sqref="A17:C17 H17:XFD17 E17">
    <cfRule type="expression" dxfId="57" priority="177" stopIfTrue="1">
      <formula>#REF!=11</formula>
    </cfRule>
    <cfRule type="expression" dxfId="56" priority="178">
      <formula>LEN(#REF!)=0</formula>
    </cfRule>
  </conditionalFormatting>
  <conditionalFormatting sqref="A16:XFD16">
    <cfRule type="expression" dxfId="55" priority="175" stopIfTrue="1">
      <formula>#REF!=11</formula>
    </cfRule>
    <cfRule type="expression" dxfId="54" priority="176">
      <formula>LEN(#REF!)=0</formula>
    </cfRule>
  </conditionalFormatting>
  <conditionalFormatting sqref="A18:XFD18">
    <cfRule type="expression" dxfId="53" priority="173" stopIfTrue="1">
      <formula>#REF!=11</formula>
    </cfRule>
    <cfRule type="expression" dxfId="52" priority="174">
      <formula>LEN(#REF!)=0</formula>
    </cfRule>
  </conditionalFormatting>
  <conditionalFormatting sqref="A26:C26 H26:XFD26 E26:F26">
    <cfRule type="expression" dxfId="51" priority="137" stopIfTrue="1">
      <formula>#REF!=11</formula>
    </cfRule>
    <cfRule type="expression" dxfId="50" priority="138">
      <formula>LEN(#REF!)=0</formula>
    </cfRule>
  </conditionalFormatting>
  <conditionalFormatting sqref="A25:XFD25">
    <cfRule type="expression" dxfId="49" priority="135" stopIfTrue="1">
      <formula>#REF!=11</formula>
    </cfRule>
    <cfRule type="expression" dxfId="48" priority="136">
      <formula>LEN(#REF!)=0</formula>
    </cfRule>
  </conditionalFormatting>
  <conditionalFormatting sqref="A27:XFD27">
    <cfRule type="expression" dxfId="47" priority="133" stopIfTrue="1">
      <formula>#REF!=11</formula>
    </cfRule>
    <cfRule type="expression" dxfId="46" priority="134">
      <formula>LEN(#REF!)=0</formula>
    </cfRule>
  </conditionalFormatting>
  <conditionalFormatting sqref="A20:C20 H20:XFD20 E20">
    <cfRule type="expression" dxfId="45" priority="131" stopIfTrue="1">
      <formula>#REF!=11</formula>
    </cfRule>
    <cfRule type="expression" dxfId="44" priority="132">
      <formula>LEN(#REF!)=0</formula>
    </cfRule>
  </conditionalFormatting>
  <conditionalFormatting sqref="A19:XFD19">
    <cfRule type="expression" dxfId="43" priority="129" stopIfTrue="1">
      <formula>#REF!=11</formula>
    </cfRule>
    <cfRule type="expression" dxfId="42" priority="130">
      <formula>LEN(#REF!)=0</formula>
    </cfRule>
  </conditionalFormatting>
  <conditionalFormatting sqref="A21:XFD21">
    <cfRule type="expression" dxfId="41" priority="127" stopIfTrue="1">
      <formula>#REF!=11</formula>
    </cfRule>
    <cfRule type="expression" dxfId="40" priority="128">
      <formula>LEN(#REF!)=0</formula>
    </cfRule>
  </conditionalFormatting>
  <conditionalFormatting sqref="D8">
    <cfRule type="expression" dxfId="39" priority="123" stopIfTrue="1">
      <formula>#REF!=11</formula>
    </cfRule>
    <cfRule type="expression" dxfId="38" priority="124">
      <formula>LEN(#REF!)=0</formula>
    </cfRule>
  </conditionalFormatting>
  <conditionalFormatting sqref="D11">
    <cfRule type="expression" dxfId="37" priority="121" stopIfTrue="1">
      <formula>#REF!=11</formula>
    </cfRule>
    <cfRule type="expression" dxfId="36" priority="122">
      <formula>LEN(#REF!)=0</formula>
    </cfRule>
  </conditionalFormatting>
  <conditionalFormatting sqref="D14">
    <cfRule type="expression" dxfId="35" priority="119" stopIfTrue="1">
      <formula>#REF!=11</formula>
    </cfRule>
    <cfRule type="expression" dxfId="34" priority="120">
      <formula>LEN(#REF!)=0</formula>
    </cfRule>
  </conditionalFormatting>
  <conditionalFormatting sqref="D17">
    <cfRule type="expression" dxfId="33" priority="117" stopIfTrue="1">
      <formula>#REF!=11</formula>
    </cfRule>
    <cfRule type="expression" dxfId="32" priority="118">
      <formula>LEN(#REF!)=0</formula>
    </cfRule>
  </conditionalFormatting>
  <conditionalFormatting sqref="D20">
    <cfRule type="expression" dxfId="31" priority="115" stopIfTrue="1">
      <formula>#REF!=11</formula>
    </cfRule>
    <cfRule type="expression" dxfId="30" priority="116">
      <formula>LEN(#REF!)=0</formula>
    </cfRule>
  </conditionalFormatting>
  <conditionalFormatting sqref="D26">
    <cfRule type="expression" dxfId="29" priority="113" stopIfTrue="1">
      <formula>#REF!=11</formula>
    </cfRule>
    <cfRule type="expression" dxfId="28" priority="114">
      <formula>LEN(#REF!)=0</formula>
    </cfRule>
  </conditionalFormatting>
  <conditionalFormatting sqref="D23">
    <cfRule type="expression" dxfId="27" priority="99" stopIfTrue="1">
      <formula>#REF!=11</formula>
    </cfRule>
    <cfRule type="expression" dxfId="26" priority="100">
      <formula>LEN(#REF!)=0</formula>
    </cfRule>
  </conditionalFormatting>
  <conditionalFormatting sqref="A23:C23 H23:XFD23 E23">
    <cfRule type="expression" dxfId="25" priority="105" stopIfTrue="1">
      <formula>#REF!=11</formula>
    </cfRule>
    <cfRule type="expression" dxfId="24" priority="106">
      <formula>LEN(#REF!)=0</formula>
    </cfRule>
  </conditionalFormatting>
  <conditionalFormatting sqref="A22:XFD22">
    <cfRule type="expression" dxfId="23" priority="103" stopIfTrue="1">
      <formula>#REF!=11</formula>
    </cfRule>
    <cfRule type="expression" dxfId="22" priority="104">
      <formula>LEN(#REF!)=0</formula>
    </cfRule>
  </conditionalFormatting>
  <conditionalFormatting sqref="A24:XFD24">
    <cfRule type="expression" dxfId="21" priority="101" stopIfTrue="1">
      <formula>#REF!=11</formula>
    </cfRule>
    <cfRule type="expression" dxfId="20" priority="102">
      <formula>LEN(#REF!)=0</formula>
    </cfRule>
  </conditionalFormatting>
  <conditionalFormatting sqref="F8">
    <cfRule type="expression" dxfId="19" priority="5" stopIfTrue="1">
      <formula>#REF!=11</formula>
    </cfRule>
    <cfRule type="expression" dxfId="18" priority="6">
      <formula>LEN(#REF!)=0</formula>
    </cfRule>
  </conditionalFormatting>
  <conditionalFormatting sqref="F11">
    <cfRule type="expression" dxfId="17" priority="3" stopIfTrue="1">
      <formula>#REF!=11</formula>
    </cfRule>
    <cfRule type="expression" dxfId="16" priority="4">
      <formula>LEN(#REF!)=0</formula>
    </cfRule>
  </conditionalFormatting>
  <conditionalFormatting sqref="F14">
    <cfRule type="expression" dxfId="15" priority="1" stopIfTrue="1">
      <formula>#REF!=11</formula>
    </cfRule>
    <cfRule type="expression" dxfId="14" priority="2">
      <formula>LEN(#REF!)=0</formula>
    </cfRule>
  </conditionalFormatting>
  <dataValidations count="1">
    <dataValidation type="date" allowBlank="1" showInputMessage="1" showErrorMessage="1" errorTitle="Not a valid date" error="Only dates are valid in this field e.g. 2017-01-24" sqref="F26" xr:uid="{00000000-0002-0000-0200-000000000000}">
      <formula1>1</formula1>
      <formula2>109939</formula2>
    </dataValidation>
  </dataValidations>
  <printOptions horizontalCentered="1"/>
  <pageMargins left="0.51181102362204722" right="0.43307086614173229" top="0.59055118110236227" bottom="0.62992125984251968" header="0.51181102362204722" footer="0.51181102362204722"/>
  <pageSetup paperSize="9" fitToHeight="0" orientation="landscape" horizontalDpi="4294967293"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40" r:id="rId4" name="Drop Down 40">
              <controlPr locked="0" defaultSize="0" autoFill="0" autoPict="0">
                <anchor moveWithCells="1">
                  <from>
                    <xdr:col>5</xdr:col>
                    <xdr:colOff>0</xdr:colOff>
                    <xdr:row>16</xdr:row>
                    <xdr:rowOff>47625</xdr:rowOff>
                  </from>
                  <to>
                    <xdr:col>6</xdr:col>
                    <xdr:colOff>1123950</xdr:colOff>
                    <xdr:row>16</xdr:row>
                    <xdr:rowOff>266700</xdr:rowOff>
                  </to>
                </anchor>
              </controlPr>
            </control>
          </mc:Choice>
        </mc:AlternateContent>
        <mc:AlternateContent xmlns:mc="http://schemas.openxmlformats.org/markup-compatibility/2006">
          <mc:Choice Requires="x14">
            <control shapeId="25646" r:id="rId5" name="Drop Down 46">
              <controlPr locked="0" defaultSize="0" autoFill="0" autoPict="0">
                <anchor moveWithCells="1">
                  <from>
                    <xdr:col>5</xdr:col>
                    <xdr:colOff>0</xdr:colOff>
                    <xdr:row>19</xdr:row>
                    <xdr:rowOff>47625</xdr:rowOff>
                  </from>
                  <to>
                    <xdr:col>6</xdr:col>
                    <xdr:colOff>1123950</xdr:colOff>
                    <xdr:row>19</xdr:row>
                    <xdr:rowOff>266700</xdr:rowOff>
                  </to>
                </anchor>
              </controlPr>
            </control>
          </mc:Choice>
        </mc:AlternateContent>
        <mc:AlternateContent xmlns:mc="http://schemas.openxmlformats.org/markup-compatibility/2006">
          <mc:Choice Requires="x14">
            <control shapeId="25647" r:id="rId6" name="Drop Down 47">
              <controlPr locked="0" defaultSize="0" autoFill="0" autoPict="0">
                <anchor moveWithCells="1">
                  <from>
                    <xdr:col>5</xdr:col>
                    <xdr:colOff>0</xdr:colOff>
                    <xdr:row>22</xdr:row>
                    <xdr:rowOff>47625</xdr:rowOff>
                  </from>
                  <to>
                    <xdr:col>6</xdr:col>
                    <xdr:colOff>1123950</xdr:colOff>
                    <xdr:row>22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FFFF00"/>
    <pageSetUpPr autoPageBreaks="0" fitToPage="1"/>
  </sheetPr>
  <dimension ref="A1:BA40"/>
  <sheetViews>
    <sheetView showGridLines="0" zoomScale="80" zoomScaleNormal="80" workbookViewId="0">
      <selection activeCell="D6" sqref="D6"/>
    </sheetView>
  </sheetViews>
  <sheetFormatPr defaultColWidth="9.140625" defaultRowHeight="15" x14ac:dyDescent="0.25"/>
  <cols>
    <col min="1" max="1" width="4.140625" style="13" customWidth="1"/>
    <col min="2" max="2" width="6.28515625" style="13" hidden="1" customWidth="1"/>
    <col min="3" max="3" width="47.5703125" style="13" hidden="1" customWidth="1"/>
    <col min="4" max="4" width="77" style="13" customWidth="1"/>
    <col min="5" max="5" width="21.5703125" style="13" customWidth="1"/>
    <col min="6" max="6" width="9.7109375" style="13" customWidth="1"/>
    <col min="7" max="8" width="11.85546875" style="13" customWidth="1"/>
    <col min="9" max="9" width="13.5703125" style="13" customWidth="1"/>
    <col min="10" max="10" width="13" style="13" customWidth="1"/>
    <col min="11" max="13" width="9.140625" style="13" hidden="1" customWidth="1"/>
    <col min="14" max="14" width="12" style="13" customWidth="1"/>
    <col min="15" max="17" width="12.85546875" style="13" customWidth="1"/>
    <col min="18" max="19" width="11.42578125" style="13" customWidth="1"/>
    <col min="20" max="20" width="9.140625" style="13" customWidth="1"/>
    <col min="21" max="21" width="9.140625" style="21" customWidth="1"/>
    <col min="22" max="24" width="9.140625" style="13"/>
    <col min="25" max="36" width="9.140625" customWidth="1"/>
    <col min="37" max="37" width="8.85546875" customWidth="1"/>
    <col min="38" max="52" width="9.140625" style="13"/>
    <col min="53" max="53" width="0" style="13" hidden="1" customWidth="1"/>
    <col min="54" max="16384" width="9.140625" style="13"/>
  </cols>
  <sheetData>
    <row r="1" spans="1:53" ht="111.6" customHeight="1" x14ac:dyDescent="0.25">
      <c r="D1" s="116" t="s">
        <v>298</v>
      </c>
      <c r="E1" s="116"/>
      <c r="F1" s="116"/>
      <c r="G1" s="318"/>
      <c r="H1" s="318"/>
      <c r="I1" s="318"/>
      <c r="J1" s="318"/>
      <c r="K1" s="116"/>
      <c r="L1" s="116"/>
      <c r="M1" s="116"/>
      <c r="N1" s="317"/>
      <c r="O1" s="317"/>
      <c r="P1" s="317"/>
      <c r="Q1" s="317"/>
      <c r="R1" s="317"/>
      <c r="S1" s="317"/>
    </row>
    <row r="2" spans="1:53" s="7" customFormat="1" ht="15.75" customHeight="1" x14ac:dyDescent="0.25">
      <c r="B2" s="6"/>
      <c r="C2" s="6" t="s">
        <v>90</v>
      </c>
      <c r="D2" s="34" t="s">
        <v>90</v>
      </c>
      <c r="E2" s="315" t="s">
        <v>12</v>
      </c>
      <c r="F2" s="316"/>
      <c r="G2" s="122"/>
      <c r="H2" s="319" t="s">
        <v>115</v>
      </c>
      <c r="I2" s="319"/>
      <c r="J2" s="123"/>
      <c r="L2" s="184"/>
      <c r="U2" s="184"/>
      <c r="Y2"/>
      <c r="Z2"/>
      <c r="AA2"/>
      <c r="AB2"/>
      <c r="AC2"/>
      <c r="AD2"/>
      <c r="AE2"/>
      <c r="AF2"/>
      <c r="AG2"/>
      <c r="AH2"/>
      <c r="AI2"/>
      <c r="AJ2"/>
      <c r="AK2"/>
      <c r="BA2" s="7" t="b">
        <v>0</v>
      </c>
    </row>
    <row r="3" spans="1:53" ht="30" hidden="1" customHeight="1" x14ac:dyDescent="0.25">
      <c r="A3" s="7"/>
      <c r="B3" s="22" t="s">
        <v>14</v>
      </c>
      <c r="C3" s="22">
        <f ca="1">VLOOKUP(B3,MMAT_Header_Text,2,FALSE)</f>
        <v>0</v>
      </c>
      <c r="D3" s="36" t="str">
        <f ca="1">B3&amp;" - "&amp;C3</f>
        <v>CSIR - 0</v>
      </c>
      <c r="E3" s="23">
        <f ca="1">F3</f>
        <v>0</v>
      </c>
      <c r="F3" s="25">
        <f ca="1">VLOOKUP(B3,MMAT_Header_Text,6,FALSE)</f>
        <v>0</v>
      </c>
      <c r="G3" s="122"/>
      <c r="H3" s="319"/>
      <c r="I3" s="319"/>
      <c r="J3" s="123"/>
      <c r="L3" s="49" t="b">
        <v>0</v>
      </c>
    </row>
    <row r="4" spans="1:53" ht="30" customHeight="1" x14ac:dyDescent="0.25">
      <c r="A4" s="7"/>
      <c r="B4" s="95" t="str">
        <f ca="1">'MMAT Ref'!AB2</f>
        <v>A</v>
      </c>
      <c r="C4" s="95" t="str">
        <f t="shared" ref="C4:C28" ca="1" si="0">VLOOKUP(B4,MMAT_Text_Ref,3,FALSE)</f>
        <v>Preparation</v>
      </c>
      <c r="D4" s="96" t="str">
        <f t="shared" ref="D4:D28" ca="1" si="1">VLOOKUP(B4,MMAT_Text_Ref,2,FALSE)&amp; " - "&amp;C4</f>
        <v>Stage A - Preparation</v>
      </c>
      <c r="E4" s="97"/>
      <c r="F4" s="187"/>
      <c r="G4" s="122"/>
      <c r="H4" s="319"/>
      <c r="I4" s="319"/>
      <c r="J4" s="123"/>
      <c r="L4" s="49" t="b">
        <v>0</v>
      </c>
      <c r="N4" s="189" t="s">
        <v>218</v>
      </c>
      <c r="O4" s="191" t="s">
        <v>116</v>
      </c>
      <c r="P4" s="191" t="s">
        <v>85</v>
      </c>
      <c r="Q4" s="191" t="s">
        <v>222</v>
      </c>
      <c r="R4" s="191" t="s">
        <v>86</v>
      </c>
      <c r="S4" s="192" t="s">
        <v>87</v>
      </c>
    </row>
    <row r="5" spans="1:53" ht="30" customHeight="1" x14ac:dyDescent="0.25">
      <c r="A5" s="7"/>
      <c r="B5" s="8" t="str">
        <f ca="1">'MMAT Ref'!AB3</f>
        <v>A.1</v>
      </c>
      <c r="C5" s="8" t="str">
        <f t="shared" ca="1" si="0"/>
        <v>Maintain a technical security assurance framework</v>
      </c>
      <c r="D5" s="31" t="str">
        <f t="shared" ca="1" si="1"/>
        <v>Step 1 - Maintain a technical security assurance framework</v>
      </c>
      <c r="E5" s="23">
        <f>F5</f>
        <v>4</v>
      </c>
      <c r="F5" s="230">
        <f>IF(L$3,N5,IF(L$4,O5,IF(L$5,P5,IF(L$6,Q5,IF(L$7,R5,IF(L$8,S5))))))</f>
        <v>4</v>
      </c>
      <c r="L5" s="49" t="b">
        <v>0</v>
      </c>
      <c r="N5" s="224">
        <v>2</v>
      </c>
      <c r="O5" s="225">
        <v>2</v>
      </c>
      <c r="P5" s="225">
        <v>3</v>
      </c>
      <c r="Q5" s="225">
        <v>4</v>
      </c>
      <c r="R5" s="225">
        <v>5</v>
      </c>
      <c r="S5" s="226">
        <v>1</v>
      </c>
    </row>
    <row r="6" spans="1:53" ht="30" customHeight="1" x14ac:dyDescent="0.25">
      <c r="B6" s="8" t="str">
        <f ca="1">'MMAT Ref'!AB4</f>
        <v>A.2</v>
      </c>
      <c r="C6" s="8" t="str">
        <f t="shared" ca="1" si="0"/>
        <v>Establish a penetration testing governance structure</v>
      </c>
      <c r="D6" s="8" t="str">
        <f t="shared" ca="1" si="1"/>
        <v>Step 2 - Establish a penetration testing governance structure</v>
      </c>
      <c r="E6" s="23">
        <f>F6</f>
        <v>4</v>
      </c>
      <c r="F6" s="230">
        <f t="shared" ref="F6:F8" si="2">IF(L$3,N6,IF(L$4,O6,IF(L$5,P6,IF(L$6,Q6,IF(L$7,R6,IF(L$8,S6))))))</f>
        <v>4</v>
      </c>
      <c r="L6" s="49" t="b">
        <v>1</v>
      </c>
      <c r="N6" s="224">
        <v>2</v>
      </c>
      <c r="O6" s="225">
        <v>2</v>
      </c>
      <c r="P6" s="225">
        <v>3</v>
      </c>
      <c r="Q6" s="225">
        <v>4</v>
      </c>
      <c r="R6" s="225">
        <v>5</v>
      </c>
      <c r="S6" s="226">
        <v>1</v>
      </c>
    </row>
    <row r="7" spans="1:53" ht="30" customHeight="1" x14ac:dyDescent="0.25">
      <c r="B7" s="8" t="str">
        <f ca="1">'MMAT Ref'!AB5</f>
        <v>A.3</v>
      </c>
      <c r="C7" s="8" t="str">
        <f t="shared" ca="1" si="0"/>
        <v>Evaluate drivers for conducting penetration tests</v>
      </c>
      <c r="D7" s="8" t="str">
        <f t="shared" ca="1" si="1"/>
        <v>Step 3 - Evaluate drivers for conducting penetration tests</v>
      </c>
      <c r="E7" s="23">
        <f>F7</f>
        <v>4</v>
      </c>
      <c r="F7" s="230">
        <f t="shared" si="2"/>
        <v>4</v>
      </c>
      <c r="L7" s="49" t="b">
        <v>0</v>
      </c>
      <c r="N7" s="224">
        <v>2</v>
      </c>
      <c r="O7" s="225">
        <v>2</v>
      </c>
      <c r="P7" s="225">
        <v>3</v>
      </c>
      <c r="Q7" s="225">
        <v>4</v>
      </c>
      <c r="R7" s="225">
        <v>5</v>
      </c>
      <c r="S7" s="226">
        <v>1</v>
      </c>
    </row>
    <row r="8" spans="1:53" ht="30" customHeight="1" x14ac:dyDescent="0.25">
      <c r="B8" s="32" t="str">
        <f ca="1">'MMAT Ref'!AB6</f>
        <v>A.4</v>
      </c>
      <c r="C8" s="32" t="str">
        <f t="shared" ca="1" si="0"/>
        <v>Identify target environments</v>
      </c>
      <c r="D8" s="32" t="str">
        <f t="shared" ca="1" si="1"/>
        <v>Step 4 - Identify target environments</v>
      </c>
      <c r="E8" s="23">
        <f>F8</f>
        <v>4</v>
      </c>
      <c r="F8" s="230">
        <f t="shared" si="2"/>
        <v>4</v>
      </c>
      <c r="L8" s="49" t="b">
        <v>0</v>
      </c>
      <c r="N8" s="224">
        <v>2</v>
      </c>
      <c r="O8" s="225">
        <v>2</v>
      </c>
      <c r="P8" s="225">
        <v>3</v>
      </c>
      <c r="Q8" s="225">
        <v>4</v>
      </c>
      <c r="R8" s="225">
        <v>5</v>
      </c>
      <c r="S8" s="226">
        <v>1</v>
      </c>
    </row>
    <row r="9" spans="1:53" ht="30" customHeight="1" x14ac:dyDescent="0.25">
      <c r="A9" s="7"/>
      <c r="B9" s="8" t="str">
        <f ca="1">'MMAT Ref'!AB7</f>
        <v>A.5</v>
      </c>
      <c r="C9" s="8" t="str">
        <f t="shared" ca="1" si="0"/>
        <v>Define the purpose of the penetration tests</v>
      </c>
      <c r="D9" s="8" t="str">
        <f t="shared" ca="1" si="1"/>
        <v>Step 5 - Define the purpose of the penetration tests</v>
      </c>
      <c r="E9" s="23">
        <f>F9</f>
        <v>4</v>
      </c>
      <c r="F9" s="230">
        <f t="shared" ref="F9" si="3">IF(L$3,N9,IF(L$4,O9,IF(L$5,P9,IF(L$6,Q9,IF(L$7,R9,IF(L$8,S9))))))</f>
        <v>4</v>
      </c>
      <c r="H9" s="90"/>
      <c r="L9" s="49"/>
      <c r="N9" s="224">
        <v>2</v>
      </c>
      <c r="O9" s="225">
        <v>2</v>
      </c>
      <c r="P9" s="225">
        <v>3</v>
      </c>
      <c r="Q9" s="225">
        <v>4</v>
      </c>
      <c r="R9" s="225">
        <v>5</v>
      </c>
      <c r="S9" s="226">
        <v>1</v>
      </c>
      <c r="Y9" s="13"/>
      <c r="Z9" s="13"/>
      <c r="AA9" s="13"/>
      <c r="AB9" s="13"/>
      <c r="AC9" s="13"/>
      <c r="AD9" s="13"/>
      <c r="AE9" s="13"/>
      <c r="AF9" s="13"/>
      <c r="AG9" s="13"/>
      <c r="AH9" s="13"/>
      <c r="AI9" s="13"/>
      <c r="AJ9" s="13"/>
      <c r="AK9" s="13"/>
    </row>
    <row r="10" spans="1:53" ht="30" customHeight="1" x14ac:dyDescent="0.25">
      <c r="B10" s="31" t="str">
        <f ca="1">'MMAT Ref'!AB8</f>
        <v>A.6</v>
      </c>
      <c r="C10" s="31" t="str">
        <f t="shared" ca="1" si="0"/>
        <v>Produce requirements specifications</v>
      </c>
      <c r="D10" s="31" t="str">
        <f t="shared" ca="1" si="1"/>
        <v>Step 6 - Produce requirements specifications</v>
      </c>
      <c r="E10" s="23">
        <f t="shared" ref="E10:E13" si="4">F10</f>
        <v>4</v>
      </c>
      <c r="F10" s="230">
        <f t="shared" ref="F10:F14" si="5">IF(L$3,N10,IF(L$4,O10,IF(L$5,P10,IF(L$6,Q10,IF(L$7,R10,IF(L$8,S10))))))</f>
        <v>4</v>
      </c>
      <c r="N10" s="224">
        <v>2</v>
      </c>
      <c r="O10" s="225">
        <v>2</v>
      </c>
      <c r="P10" s="225">
        <v>3</v>
      </c>
      <c r="Q10" s="225">
        <v>4</v>
      </c>
      <c r="R10" s="225">
        <v>5</v>
      </c>
      <c r="S10" s="226">
        <v>1</v>
      </c>
      <c r="Y10" s="13"/>
      <c r="Z10" s="13"/>
      <c r="AA10" s="13"/>
      <c r="AB10" s="13"/>
      <c r="AC10" s="13"/>
      <c r="AD10" s="13"/>
      <c r="AE10" s="13"/>
      <c r="AF10" s="13"/>
      <c r="AG10" s="13"/>
      <c r="AH10" s="13"/>
      <c r="AI10" s="13"/>
      <c r="AJ10" s="13"/>
      <c r="AK10" s="13"/>
    </row>
    <row r="11" spans="1:53" ht="30" customHeight="1" x14ac:dyDescent="0.25">
      <c r="B11" s="8" t="str">
        <f ca="1">'MMAT Ref'!AB9</f>
        <v>A.7</v>
      </c>
      <c r="C11" s="8" t="str">
        <f t="shared" ca="1" si="0"/>
        <v>Select suitable suppliers</v>
      </c>
      <c r="D11" s="31" t="str">
        <f t="shared" ca="1" si="1"/>
        <v>Step 7 - Select suitable suppliers</v>
      </c>
      <c r="E11" s="23">
        <f t="shared" si="4"/>
        <v>4</v>
      </c>
      <c r="F11" s="230">
        <f t="shared" si="5"/>
        <v>4</v>
      </c>
      <c r="N11" s="224">
        <v>2</v>
      </c>
      <c r="O11" s="225">
        <v>2</v>
      </c>
      <c r="P11" s="225">
        <v>3</v>
      </c>
      <c r="Q11" s="225">
        <v>4</v>
      </c>
      <c r="R11" s="225">
        <v>5</v>
      </c>
      <c r="S11" s="226">
        <v>1</v>
      </c>
    </row>
    <row r="12" spans="1:53" ht="30" customHeight="1" x14ac:dyDescent="0.25">
      <c r="B12" s="175" t="str">
        <f ca="1">'MMAT Ref'!AB10</f>
        <v>B</v>
      </c>
      <c r="C12" s="175" t="str">
        <f t="shared" ca="1" si="0"/>
        <v>Testing</v>
      </c>
      <c r="D12" s="96" t="str">
        <f t="shared" ca="1" si="1"/>
        <v>Stage B - Testing</v>
      </c>
      <c r="E12" s="97"/>
      <c r="F12" s="188"/>
      <c r="N12" s="190"/>
      <c r="O12" s="190"/>
      <c r="P12" s="190"/>
      <c r="Q12" s="190"/>
      <c r="R12" s="190"/>
      <c r="S12" s="190"/>
    </row>
    <row r="13" spans="1:53" ht="30" customHeight="1" x14ac:dyDescent="0.25">
      <c r="B13" s="8" t="str">
        <f ca="1">'MMAT Ref'!AB11</f>
        <v>B.1</v>
      </c>
      <c r="C13" s="8" t="str">
        <f t="shared" ca="1" si="0"/>
        <v>Agree testing style and type</v>
      </c>
      <c r="D13" s="8" t="str">
        <f t="shared" ca="1" si="1"/>
        <v>Step 1 - Agree testing style and type</v>
      </c>
      <c r="E13" s="23">
        <f t="shared" si="4"/>
        <v>4</v>
      </c>
      <c r="F13" s="230">
        <f t="shared" si="5"/>
        <v>4</v>
      </c>
      <c r="N13" s="224">
        <v>2</v>
      </c>
      <c r="O13" s="225">
        <v>2</v>
      </c>
      <c r="P13" s="225">
        <v>3</v>
      </c>
      <c r="Q13" s="225">
        <v>4</v>
      </c>
      <c r="R13" s="225">
        <v>5</v>
      </c>
      <c r="S13" s="226">
        <v>1</v>
      </c>
    </row>
    <row r="14" spans="1:53" ht="30" customHeight="1" x14ac:dyDescent="0.25">
      <c r="A14" s="7"/>
      <c r="B14" s="8" t="str">
        <f ca="1">'MMAT Ref'!AB12</f>
        <v>B.2</v>
      </c>
      <c r="C14" s="8" t="str">
        <f t="shared" ca="1" si="0"/>
        <v>Identify testing constraints</v>
      </c>
      <c r="D14" s="8" t="str">
        <f t="shared" ca="1" si="1"/>
        <v>Step 2 - Identify testing constraints</v>
      </c>
      <c r="E14" s="23">
        <f>F14</f>
        <v>4</v>
      </c>
      <c r="F14" s="230">
        <f t="shared" si="5"/>
        <v>4</v>
      </c>
      <c r="H14" s="90"/>
      <c r="L14" s="49"/>
      <c r="N14" s="224">
        <v>2</v>
      </c>
      <c r="O14" s="225">
        <v>2</v>
      </c>
      <c r="P14" s="225">
        <v>3</v>
      </c>
      <c r="Q14" s="225">
        <v>4</v>
      </c>
      <c r="R14" s="225">
        <v>5</v>
      </c>
      <c r="S14" s="226">
        <v>1</v>
      </c>
      <c r="Y14" s="13"/>
      <c r="Z14" s="13"/>
      <c r="AA14" s="13"/>
      <c r="AB14" s="13"/>
      <c r="AC14" s="13"/>
      <c r="AD14" s="13"/>
      <c r="AE14" s="13"/>
      <c r="AF14" s="13"/>
      <c r="AG14" s="13"/>
      <c r="AH14" s="13"/>
      <c r="AI14" s="13"/>
      <c r="AJ14" s="13"/>
      <c r="AK14" s="13"/>
    </row>
    <row r="15" spans="1:53" ht="30" customHeight="1" x14ac:dyDescent="0.25">
      <c r="B15" s="8" t="str">
        <f ca="1">'MMAT Ref'!AB13</f>
        <v>B.3</v>
      </c>
      <c r="C15" s="8" t="str">
        <f t="shared" ca="1" si="0"/>
        <v>Produce scope statements</v>
      </c>
      <c r="D15" s="8" t="str">
        <f t="shared" ca="1" si="1"/>
        <v>Step 3 - Produce scope statements</v>
      </c>
      <c r="E15" s="23">
        <f>F15</f>
        <v>4</v>
      </c>
      <c r="F15" s="230">
        <f t="shared" ref="F15" si="6">IF(L$3,N15,IF(L$4,O15,IF(L$5,P15,IF(L$6,Q15,IF(L$7,R15,IF(L$8,S15))))))</f>
        <v>4</v>
      </c>
      <c r="N15" s="224">
        <v>2</v>
      </c>
      <c r="O15" s="225">
        <v>2</v>
      </c>
      <c r="P15" s="225">
        <v>3</v>
      </c>
      <c r="Q15" s="225">
        <v>4</v>
      </c>
      <c r="R15" s="225">
        <v>5</v>
      </c>
      <c r="S15" s="226">
        <v>1</v>
      </c>
      <c r="Y15" s="13"/>
      <c r="Z15" s="13"/>
      <c r="AA15" s="13"/>
      <c r="AB15" s="13"/>
      <c r="AC15" s="13"/>
      <c r="AD15" s="13"/>
      <c r="AE15" s="13"/>
      <c r="AF15" s="13"/>
      <c r="AG15" s="13"/>
      <c r="AH15" s="13"/>
      <c r="AI15" s="13"/>
      <c r="AJ15" s="13"/>
      <c r="AK15" s="13"/>
    </row>
    <row r="16" spans="1:53" ht="30" customHeight="1" x14ac:dyDescent="0.25">
      <c r="B16" s="8" t="str">
        <f ca="1">'MMAT Ref'!AB14</f>
        <v>B.4</v>
      </c>
      <c r="C16" s="8" t="str">
        <f t="shared" ca="1" si="0"/>
        <v>Establish a management assurance framework</v>
      </c>
      <c r="D16" s="8" t="str">
        <f t="shared" ca="1" si="1"/>
        <v>Step 4 - Establish a management assurance framework</v>
      </c>
      <c r="E16" s="23">
        <f t="shared" ref="E16:E21" si="7">F16</f>
        <v>4</v>
      </c>
      <c r="F16" s="230">
        <f t="shared" ref="F16:F21" si="8">IF(L$3,N16,IF(L$4,O16,IF(L$5,P16,IF(L$6,Q16,IF(L$7,R16,IF(L$8,S16))))))</f>
        <v>4</v>
      </c>
      <c r="N16" s="224">
        <v>2</v>
      </c>
      <c r="O16" s="225">
        <v>2</v>
      </c>
      <c r="P16" s="225">
        <v>3</v>
      </c>
      <c r="Q16" s="225">
        <v>4</v>
      </c>
      <c r="R16" s="225">
        <v>5</v>
      </c>
      <c r="S16" s="226">
        <v>1</v>
      </c>
    </row>
    <row r="17" spans="1:37" ht="30" customHeight="1" x14ac:dyDescent="0.25">
      <c r="B17" s="8" t="str">
        <f ca="1">'MMAT Ref'!AB15</f>
        <v>B.5</v>
      </c>
      <c r="C17" s="8" t="str">
        <f t="shared" ca="1" si="0"/>
        <v>Implement management control processes</v>
      </c>
      <c r="D17" s="8" t="str">
        <f t="shared" ca="1" si="1"/>
        <v>Step 5 - Implement management control processes</v>
      </c>
      <c r="E17" s="23">
        <f t="shared" si="7"/>
        <v>4</v>
      </c>
      <c r="F17" s="230">
        <f t="shared" si="8"/>
        <v>4</v>
      </c>
      <c r="N17" s="224">
        <v>2</v>
      </c>
      <c r="O17" s="225">
        <v>2</v>
      </c>
      <c r="P17" s="225">
        <v>3</v>
      </c>
      <c r="Q17" s="225">
        <v>4</v>
      </c>
      <c r="R17" s="225">
        <v>5</v>
      </c>
      <c r="S17" s="226">
        <v>1</v>
      </c>
      <c r="Y17" s="13"/>
      <c r="Z17" s="13"/>
      <c r="AA17" s="13"/>
      <c r="AB17" s="13"/>
      <c r="AC17" s="13"/>
      <c r="AD17" s="13"/>
      <c r="AE17" s="13"/>
      <c r="AF17" s="13"/>
      <c r="AG17" s="13"/>
      <c r="AH17" s="13"/>
      <c r="AI17" s="13"/>
      <c r="AJ17" s="13"/>
      <c r="AK17" s="13"/>
    </row>
    <row r="18" spans="1:37" ht="30" customHeight="1" x14ac:dyDescent="0.25">
      <c r="B18" s="8" t="str">
        <f ca="1">'MMAT Ref'!AB16</f>
        <v>B.6</v>
      </c>
      <c r="C18" s="8" t="str">
        <f t="shared" ca="1" si="0"/>
        <v>Use an effective testing methodology</v>
      </c>
      <c r="D18" s="8" t="str">
        <f t="shared" ca="1" si="1"/>
        <v>Step 6 - Use an effective testing methodology</v>
      </c>
      <c r="E18" s="23">
        <f t="shared" si="7"/>
        <v>4</v>
      </c>
      <c r="F18" s="230">
        <f t="shared" si="8"/>
        <v>4</v>
      </c>
      <c r="N18" s="224">
        <v>2</v>
      </c>
      <c r="O18" s="225">
        <v>2</v>
      </c>
      <c r="P18" s="225">
        <v>3</v>
      </c>
      <c r="Q18" s="225">
        <v>4</v>
      </c>
      <c r="R18" s="225">
        <v>5</v>
      </c>
      <c r="S18" s="226">
        <v>1</v>
      </c>
      <c r="Y18" s="13"/>
      <c r="Z18" s="13"/>
      <c r="AA18" s="13"/>
      <c r="AB18" s="13"/>
      <c r="AC18" s="13"/>
      <c r="AD18" s="13"/>
      <c r="AE18" s="13"/>
      <c r="AF18" s="13"/>
      <c r="AG18" s="13"/>
      <c r="AH18" s="13"/>
      <c r="AI18" s="13"/>
      <c r="AJ18" s="13"/>
      <c r="AK18" s="13"/>
    </row>
    <row r="19" spans="1:37" ht="30" customHeight="1" x14ac:dyDescent="0.25">
      <c r="A19" s="7"/>
      <c r="B19" s="8" t="str">
        <f ca="1">'MMAT Ref'!AB17</f>
        <v>B.7</v>
      </c>
      <c r="C19" s="8" t="str">
        <f t="shared" ca="1" si="0"/>
        <v>Conduct sufficient research and planning</v>
      </c>
      <c r="D19" s="8" t="str">
        <f t="shared" ca="1" si="1"/>
        <v>Step 7 - Conduct sufficient research and planning</v>
      </c>
      <c r="E19" s="23">
        <f t="shared" si="7"/>
        <v>4</v>
      </c>
      <c r="F19" s="230">
        <f t="shared" si="8"/>
        <v>4</v>
      </c>
      <c r="H19" s="90"/>
      <c r="L19" s="49"/>
      <c r="N19" s="224">
        <v>2</v>
      </c>
      <c r="O19" s="225">
        <v>2</v>
      </c>
      <c r="P19" s="225">
        <v>3</v>
      </c>
      <c r="Q19" s="225">
        <v>4</v>
      </c>
      <c r="R19" s="225">
        <v>5</v>
      </c>
      <c r="S19" s="226">
        <v>1</v>
      </c>
      <c r="Y19" s="13"/>
      <c r="Z19" s="13"/>
      <c r="AA19" s="13"/>
      <c r="AB19" s="13"/>
      <c r="AC19" s="13"/>
      <c r="AD19" s="13"/>
      <c r="AE19" s="13"/>
      <c r="AF19" s="13"/>
      <c r="AG19" s="13"/>
      <c r="AH19" s="13"/>
      <c r="AI19" s="13"/>
      <c r="AJ19" s="13"/>
      <c r="AK19" s="13"/>
    </row>
    <row r="20" spans="1:37" ht="30" customHeight="1" x14ac:dyDescent="0.25">
      <c r="B20" s="8" t="str">
        <f ca="1">'MMAT Ref'!AB18</f>
        <v>B.8</v>
      </c>
      <c r="C20" s="8" t="str">
        <f t="shared" ca="1" si="0"/>
        <v>Identify and exploit vulnerabilities</v>
      </c>
      <c r="D20" s="8" t="str">
        <f t="shared" ca="1" si="1"/>
        <v>Step 8 - Identify and exploit vulnerabilities</v>
      </c>
      <c r="E20" s="23">
        <f t="shared" si="7"/>
        <v>4</v>
      </c>
      <c r="F20" s="230">
        <f t="shared" si="8"/>
        <v>4</v>
      </c>
      <c r="N20" s="224">
        <v>2</v>
      </c>
      <c r="O20" s="225">
        <v>2</v>
      </c>
      <c r="P20" s="225">
        <v>3</v>
      </c>
      <c r="Q20" s="225">
        <v>4</v>
      </c>
      <c r="R20" s="225">
        <v>5</v>
      </c>
      <c r="S20" s="226">
        <v>1</v>
      </c>
      <c r="Y20" s="13"/>
      <c r="Z20" s="13"/>
      <c r="AA20" s="13"/>
      <c r="AB20" s="13"/>
      <c r="AC20" s="13"/>
      <c r="AD20" s="13"/>
      <c r="AE20" s="13"/>
      <c r="AF20" s="13"/>
      <c r="AG20" s="13"/>
      <c r="AH20" s="13"/>
      <c r="AI20" s="13"/>
      <c r="AJ20" s="13"/>
      <c r="AK20" s="13"/>
    </row>
    <row r="21" spans="1:37" ht="30" customHeight="1" x14ac:dyDescent="0.25">
      <c r="B21" s="8" t="str">
        <f ca="1">'MMAT Ref'!AB19</f>
        <v>B.9</v>
      </c>
      <c r="C21" s="8" t="str">
        <f t="shared" ca="1" si="0"/>
        <v>Report key findings</v>
      </c>
      <c r="D21" s="8" t="str">
        <f t="shared" ca="1" si="1"/>
        <v>Step 9 - Report key findings</v>
      </c>
      <c r="E21" s="23">
        <f t="shared" si="7"/>
        <v>4</v>
      </c>
      <c r="F21" s="230">
        <f t="shared" si="8"/>
        <v>4</v>
      </c>
      <c r="N21" s="224">
        <v>2</v>
      </c>
      <c r="O21" s="225">
        <v>2</v>
      </c>
      <c r="P21" s="225">
        <v>3</v>
      </c>
      <c r="Q21" s="225">
        <v>4</v>
      </c>
      <c r="R21" s="225">
        <v>5</v>
      </c>
      <c r="S21" s="226">
        <v>1</v>
      </c>
      <c r="Y21" s="13"/>
      <c r="Z21" s="13"/>
      <c r="AA21" s="13"/>
      <c r="AB21" s="13"/>
      <c r="AC21" s="13"/>
      <c r="AD21" s="13"/>
      <c r="AE21" s="13"/>
      <c r="AF21" s="13"/>
      <c r="AG21" s="13"/>
      <c r="AH21" s="13"/>
      <c r="AI21" s="13"/>
      <c r="AJ21" s="13"/>
      <c r="AK21" s="13"/>
    </row>
    <row r="22" spans="1:37" ht="30" customHeight="1" x14ac:dyDescent="0.25">
      <c r="B22" s="175" t="str">
        <f ca="1">'MMAT Ref'!AB20</f>
        <v>C</v>
      </c>
      <c r="C22" s="175" t="str">
        <f t="shared" ca="1" si="0"/>
        <v>Follow up</v>
      </c>
      <c r="D22" s="96" t="str">
        <f t="shared" ca="1" si="1"/>
        <v>Stage C - Follow up</v>
      </c>
      <c r="E22" s="97"/>
      <c r="F22" s="188"/>
      <c r="N22" s="190"/>
      <c r="O22" s="190"/>
      <c r="P22" s="190"/>
      <c r="Q22" s="190"/>
      <c r="R22" s="190"/>
      <c r="S22" s="190"/>
      <c r="Y22" s="13"/>
      <c r="Z22" s="13"/>
      <c r="AA22" s="13"/>
      <c r="AB22" s="13"/>
      <c r="AC22" s="13"/>
      <c r="AD22" s="13"/>
      <c r="AE22" s="13"/>
      <c r="AF22" s="13"/>
      <c r="AG22" s="13"/>
      <c r="AH22" s="13"/>
      <c r="AI22" s="13"/>
      <c r="AJ22" s="13"/>
      <c r="AK22" s="13"/>
    </row>
    <row r="23" spans="1:37" ht="30" customHeight="1" x14ac:dyDescent="0.25">
      <c r="B23" s="8" t="str">
        <f ca="1">'MMAT Ref'!AB21</f>
        <v>C.1</v>
      </c>
      <c r="C23" s="8" t="str">
        <f t="shared" ca="1" si="0"/>
        <v>Remediate weaknesses</v>
      </c>
      <c r="D23" s="8" t="str">
        <f t="shared" ca="1" si="1"/>
        <v>Step 1 - Remediate weaknesses</v>
      </c>
      <c r="E23" s="23">
        <f t="shared" ref="E23:E28" si="9">F23</f>
        <v>4</v>
      </c>
      <c r="F23" s="230">
        <f t="shared" ref="F23:F28" si="10">IF(L$3,N23,IF(L$4,O23,IF(L$5,P23,IF(L$6,Q23,IF(L$7,R23,IF(L$8,S23))))))</f>
        <v>4</v>
      </c>
      <c r="N23" s="224">
        <v>2</v>
      </c>
      <c r="O23" s="225">
        <v>2</v>
      </c>
      <c r="P23" s="225">
        <v>3</v>
      </c>
      <c r="Q23" s="225">
        <v>4</v>
      </c>
      <c r="R23" s="225">
        <v>5</v>
      </c>
      <c r="S23" s="226">
        <v>1</v>
      </c>
      <c r="Y23" s="13"/>
      <c r="Z23" s="13"/>
      <c r="AA23" s="13"/>
      <c r="AB23" s="13"/>
      <c r="AC23" s="13"/>
      <c r="AD23" s="13"/>
      <c r="AE23" s="13"/>
      <c r="AF23" s="13"/>
      <c r="AG23" s="13"/>
      <c r="AH23" s="13"/>
      <c r="AI23" s="13"/>
      <c r="AJ23" s="13"/>
      <c r="AK23" s="13"/>
    </row>
    <row r="24" spans="1:37" ht="30" customHeight="1" x14ac:dyDescent="0.25">
      <c r="B24" s="8" t="str">
        <f ca="1">'MMAT Ref'!AB22</f>
        <v>C.2</v>
      </c>
      <c r="C24" s="8" t="str">
        <f t="shared" ca="1" si="0"/>
        <v>Address root causes of weaknesses</v>
      </c>
      <c r="D24" s="8" t="str">
        <f t="shared" ca="1" si="1"/>
        <v>Step 2 - Address root causes of weaknesses</v>
      </c>
      <c r="E24" s="23">
        <f t="shared" si="9"/>
        <v>4</v>
      </c>
      <c r="F24" s="230">
        <f t="shared" si="10"/>
        <v>4</v>
      </c>
      <c r="N24" s="224">
        <v>2</v>
      </c>
      <c r="O24" s="225">
        <v>2</v>
      </c>
      <c r="P24" s="225">
        <v>3</v>
      </c>
      <c r="Q24" s="225">
        <v>4</v>
      </c>
      <c r="R24" s="225">
        <v>5</v>
      </c>
      <c r="S24" s="226">
        <v>1</v>
      </c>
      <c r="Y24" s="13"/>
      <c r="Z24" s="13"/>
      <c r="AA24" s="13"/>
      <c r="AB24" s="13"/>
      <c r="AC24" s="13"/>
      <c r="AD24" s="13"/>
      <c r="AE24" s="13"/>
      <c r="AF24" s="13"/>
      <c r="AG24" s="13"/>
      <c r="AH24" s="13"/>
      <c r="AI24" s="13"/>
      <c r="AJ24" s="13"/>
      <c r="AK24" s="13"/>
    </row>
    <row r="25" spans="1:37" ht="30" customHeight="1" x14ac:dyDescent="0.25">
      <c r="B25" s="8" t="str">
        <f ca="1">'MMAT Ref'!AB23</f>
        <v>C.3</v>
      </c>
      <c r="C25" s="8" t="str">
        <f t="shared" ca="1" si="0"/>
        <v>Initiate improvement programme</v>
      </c>
      <c r="D25" s="8" t="str">
        <f t="shared" ca="1" si="1"/>
        <v>Step 3 - Initiate improvement programme</v>
      </c>
      <c r="E25" s="23">
        <f t="shared" si="9"/>
        <v>4</v>
      </c>
      <c r="F25" s="230">
        <f t="shared" si="10"/>
        <v>4</v>
      </c>
      <c r="N25" s="224">
        <v>2</v>
      </c>
      <c r="O25" s="225">
        <v>2</v>
      </c>
      <c r="P25" s="225">
        <v>3</v>
      </c>
      <c r="Q25" s="225">
        <v>4</v>
      </c>
      <c r="R25" s="225">
        <v>5</v>
      </c>
      <c r="S25" s="226">
        <v>1</v>
      </c>
      <c r="Y25" s="13"/>
      <c r="Z25" s="13"/>
      <c r="AA25" s="13"/>
      <c r="AB25" s="13"/>
      <c r="AC25" s="13"/>
      <c r="AD25" s="13"/>
      <c r="AE25" s="13"/>
      <c r="AF25" s="13"/>
      <c r="AG25" s="13"/>
      <c r="AH25" s="13"/>
      <c r="AI25" s="13"/>
      <c r="AJ25" s="13"/>
      <c r="AK25" s="13"/>
    </row>
    <row r="26" spans="1:37" ht="30" customHeight="1" x14ac:dyDescent="0.25">
      <c r="A26" s="7"/>
      <c r="B26" s="8" t="str">
        <f ca="1">'MMAT Ref'!AB24</f>
        <v>C.4</v>
      </c>
      <c r="C26" s="8" t="str">
        <f t="shared" ca="1" si="0"/>
        <v>Evaluate penetration testing effectiveness</v>
      </c>
      <c r="D26" s="8" t="str">
        <f t="shared" ca="1" si="1"/>
        <v>Step 4 - Evaluate penetration testing effectiveness</v>
      </c>
      <c r="E26" s="23">
        <f t="shared" si="9"/>
        <v>4</v>
      </c>
      <c r="F26" s="230">
        <f t="shared" si="10"/>
        <v>4</v>
      </c>
      <c r="H26" s="90"/>
      <c r="L26" s="49"/>
      <c r="N26" s="224">
        <v>2</v>
      </c>
      <c r="O26" s="225">
        <v>2</v>
      </c>
      <c r="P26" s="225">
        <v>3</v>
      </c>
      <c r="Q26" s="225">
        <v>4</v>
      </c>
      <c r="R26" s="225">
        <v>5</v>
      </c>
      <c r="S26" s="226">
        <v>1</v>
      </c>
      <c r="Y26" s="13"/>
      <c r="Z26" s="13"/>
      <c r="AA26" s="13"/>
      <c r="AB26" s="13"/>
      <c r="AC26" s="13"/>
      <c r="AD26" s="13"/>
      <c r="AE26" s="13"/>
      <c r="AF26" s="13"/>
      <c r="AG26" s="13"/>
      <c r="AH26" s="13"/>
      <c r="AI26" s="13"/>
      <c r="AJ26" s="13"/>
      <c r="AK26" s="13"/>
    </row>
    <row r="27" spans="1:37" ht="30" customHeight="1" x14ac:dyDescent="0.25">
      <c r="B27" s="8" t="str">
        <f ca="1">'MMAT Ref'!AB25</f>
        <v>C.5</v>
      </c>
      <c r="C27" s="8" t="str">
        <f t="shared" ca="1" si="0"/>
        <v>Build on lessons learned</v>
      </c>
      <c r="D27" s="8" t="str">
        <f t="shared" ca="1" si="1"/>
        <v>Step 5 - Build on lessons learned</v>
      </c>
      <c r="E27" s="23">
        <f t="shared" si="9"/>
        <v>4</v>
      </c>
      <c r="F27" s="230">
        <f t="shared" si="10"/>
        <v>4</v>
      </c>
      <c r="N27" s="224">
        <v>2</v>
      </c>
      <c r="O27" s="225">
        <v>2</v>
      </c>
      <c r="P27" s="225">
        <v>3</v>
      </c>
      <c r="Q27" s="225">
        <v>4</v>
      </c>
      <c r="R27" s="225">
        <v>5</v>
      </c>
      <c r="S27" s="226">
        <v>1</v>
      </c>
      <c r="Y27" s="13"/>
      <c r="Z27" s="13"/>
      <c r="AA27" s="13"/>
      <c r="AB27" s="13"/>
      <c r="AC27" s="13"/>
      <c r="AD27" s="13"/>
      <c r="AE27" s="13"/>
      <c r="AF27" s="13"/>
      <c r="AG27" s="13"/>
      <c r="AH27" s="13"/>
      <c r="AI27" s="13"/>
      <c r="AJ27" s="13"/>
      <c r="AK27" s="13"/>
    </row>
    <row r="28" spans="1:37" ht="30" customHeight="1" x14ac:dyDescent="0.25">
      <c r="B28" s="8" t="str">
        <f ca="1">'MMAT Ref'!AB26</f>
        <v>C.6</v>
      </c>
      <c r="C28" s="8" t="str">
        <f t="shared" ca="1" si="0"/>
        <v>Create and monitor action plans</v>
      </c>
      <c r="D28" s="8" t="str">
        <f t="shared" ca="1" si="1"/>
        <v>Step 6 - Create and monitor action plans</v>
      </c>
      <c r="E28" s="24">
        <f t="shared" si="9"/>
        <v>4</v>
      </c>
      <c r="F28" s="231">
        <f t="shared" si="10"/>
        <v>4</v>
      </c>
      <c r="N28" s="227">
        <v>2</v>
      </c>
      <c r="O28" s="228">
        <v>2</v>
      </c>
      <c r="P28" s="228">
        <v>3</v>
      </c>
      <c r="Q28" s="228">
        <v>4</v>
      </c>
      <c r="R28" s="228">
        <v>5</v>
      </c>
      <c r="S28" s="229">
        <v>1</v>
      </c>
      <c r="Y28" s="13"/>
      <c r="Z28" s="13"/>
      <c r="AA28" s="13"/>
      <c r="AB28" s="13"/>
      <c r="AC28" s="13"/>
      <c r="AD28" s="13"/>
      <c r="AE28" s="13"/>
      <c r="AF28" s="13"/>
      <c r="AG28" s="13"/>
      <c r="AH28" s="13"/>
      <c r="AI28" s="13"/>
      <c r="AJ28" s="13"/>
      <c r="AK28" s="13"/>
    </row>
    <row r="29" spans="1:37" ht="30" customHeight="1" x14ac:dyDescent="0.25">
      <c r="B29"/>
      <c r="C29"/>
      <c r="D29"/>
      <c r="E29"/>
      <c r="F29" s="21"/>
      <c r="N29"/>
      <c r="O29"/>
      <c r="R29"/>
      <c r="S29"/>
      <c r="T29"/>
      <c r="Y29" s="13"/>
      <c r="Z29" s="13"/>
      <c r="AA29" s="13"/>
      <c r="AB29" s="13"/>
      <c r="AC29" s="13"/>
      <c r="AD29" s="13"/>
      <c r="AE29" s="13"/>
      <c r="AF29" s="13"/>
      <c r="AG29" s="13"/>
      <c r="AH29" s="13"/>
      <c r="AI29" s="13"/>
      <c r="AJ29" s="13"/>
      <c r="AK29" s="13"/>
    </row>
    <row r="30" spans="1:37" ht="30" customHeight="1" x14ac:dyDescent="0.25">
      <c r="B30"/>
      <c r="C30"/>
      <c r="D30"/>
      <c r="E30"/>
      <c r="F30" s="21"/>
      <c r="N30"/>
      <c r="O30"/>
      <c r="R30"/>
      <c r="S30"/>
      <c r="T30"/>
      <c r="Y30" s="13"/>
      <c r="Z30" s="13"/>
      <c r="AA30" s="13"/>
      <c r="AB30" s="13"/>
      <c r="AC30" s="13"/>
      <c r="AD30" s="13"/>
      <c r="AE30" s="13"/>
      <c r="AF30" s="13"/>
      <c r="AG30" s="13"/>
      <c r="AH30" s="13"/>
      <c r="AI30" s="13"/>
      <c r="AJ30" s="13"/>
      <c r="AK30" s="13"/>
    </row>
    <row r="31" spans="1:37" ht="30" customHeight="1" x14ac:dyDescent="0.25">
      <c r="B31"/>
      <c r="C31"/>
      <c r="D31"/>
      <c r="E31"/>
      <c r="F31" s="21"/>
      <c r="N31"/>
      <c r="O31"/>
      <c r="R31"/>
      <c r="S31"/>
      <c r="T31"/>
      <c r="Y31" s="13"/>
      <c r="Z31" s="13"/>
      <c r="AA31" s="13"/>
      <c r="AB31" s="13"/>
      <c r="AC31" s="13"/>
      <c r="AD31" s="13"/>
      <c r="AE31" s="13"/>
      <c r="AF31" s="13"/>
      <c r="AG31" s="13"/>
      <c r="AH31" s="13"/>
      <c r="AI31" s="13"/>
      <c r="AJ31" s="13"/>
      <c r="AK31" s="13"/>
    </row>
    <row r="32" spans="1:37" ht="30" customHeight="1" x14ac:dyDescent="0.25">
      <c r="B32"/>
      <c r="C32"/>
      <c r="D32"/>
      <c r="E32"/>
      <c r="F32" s="21"/>
      <c r="N32"/>
      <c r="O32"/>
      <c r="R32"/>
      <c r="S32"/>
      <c r="T32"/>
      <c r="Y32" s="13"/>
      <c r="Z32" s="13"/>
      <c r="AA32" s="13"/>
      <c r="AB32" s="13"/>
      <c r="AC32" s="13"/>
      <c r="AD32" s="13"/>
      <c r="AE32" s="13"/>
      <c r="AF32" s="13"/>
      <c r="AG32" s="13"/>
      <c r="AH32" s="13"/>
      <c r="AI32" s="13"/>
      <c r="AJ32" s="13"/>
      <c r="AK32" s="13"/>
    </row>
    <row r="33" spans="2:20" x14ac:dyDescent="0.25">
      <c r="B33"/>
      <c r="C33"/>
      <c r="D33"/>
      <c r="E33"/>
      <c r="F33"/>
      <c r="N33"/>
      <c r="O33"/>
      <c r="R33"/>
      <c r="S33"/>
      <c r="T33"/>
    </row>
    <row r="34" spans="2:20" x14ac:dyDescent="0.25">
      <c r="B34"/>
      <c r="C34"/>
      <c r="D34"/>
      <c r="E34"/>
      <c r="F34"/>
      <c r="N34"/>
      <c r="O34"/>
      <c r="R34"/>
      <c r="S34"/>
      <c r="T34"/>
    </row>
    <row r="35" spans="2:20" x14ac:dyDescent="0.25">
      <c r="B35"/>
      <c r="C35"/>
      <c r="D35"/>
      <c r="E35"/>
      <c r="F35"/>
      <c r="N35"/>
      <c r="O35"/>
      <c r="R35"/>
      <c r="S35"/>
      <c r="T35"/>
    </row>
    <row r="36" spans="2:20" x14ac:dyDescent="0.25">
      <c r="B36"/>
      <c r="C36"/>
      <c r="D36"/>
      <c r="E36"/>
      <c r="F36"/>
      <c r="N36"/>
      <c r="O36"/>
      <c r="R36"/>
      <c r="S36"/>
      <c r="T36"/>
    </row>
    <row r="37" spans="2:20" x14ac:dyDescent="0.25">
      <c r="B37"/>
      <c r="C37"/>
      <c r="D37"/>
      <c r="E37"/>
      <c r="F37"/>
      <c r="N37"/>
      <c r="O37"/>
      <c r="R37"/>
      <c r="S37"/>
      <c r="T37"/>
    </row>
    <row r="38" spans="2:20" x14ac:dyDescent="0.25">
      <c r="B38"/>
      <c r="C38"/>
      <c r="D38"/>
      <c r="E38"/>
      <c r="F38"/>
      <c r="N38"/>
      <c r="O38"/>
      <c r="R38"/>
      <c r="S38"/>
      <c r="T38"/>
    </row>
    <row r="39" spans="2:20" x14ac:dyDescent="0.25">
      <c r="N39"/>
      <c r="O39"/>
      <c r="R39"/>
      <c r="S39"/>
      <c r="T39"/>
    </row>
    <row r="40" spans="2:20" x14ac:dyDescent="0.25">
      <c r="N40"/>
      <c r="O40"/>
      <c r="R40"/>
      <c r="S40"/>
      <c r="T40"/>
    </row>
  </sheetData>
  <sheetProtection algorithmName="SHA-512" hashValue="L36IZcfF3HKIyGlG4Yxnb2m1kjaUqHXZaHnjTl7E5gasQi5NS2NGv6VJXfIbpA/NFE3cIKNq6In7VqLXlFn0lQ==" saltValue="ky8t/oiuqPAIClD3Vlevvg==" spinCount="100000" sheet="1" objects="1" scenarios="1"/>
  <mergeCells count="4">
    <mergeCell ref="E2:F2"/>
    <mergeCell ref="N1:S1"/>
    <mergeCell ref="G1:J1"/>
    <mergeCell ref="H2:I4"/>
  </mergeCells>
  <conditionalFormatting sqref="E5">
    <cfRule type="dataBar" priority="22">
      <dataBar>
        <cfvo type="num" val="0"/>
        <cfvo type="num" val="5"/>
        <color theme="7" tint="0.79998168889431442"/>
      </dataBar>
      <extLst>
        <ext xmlns:x14="http://schemas.microsoft.com/office/spreadsheetml/2009/9/main" uri="{B025F937-C7B1-47D3-B67F-A62EFF666E3E}">
          <x14:id>{3A5EB843-3860-4A82-80B4-4C44A3877570}</x14:id>
        </ext>
      </extLst>
    </cfRule>
  </conditionalFormatting>
  <conditionalFormatting sqref="E3">
    <cfRule type="dataBar" priority="21">
      <dataBar>
        <cfvo type="num" val="0"/>
        <cfvo type="num" val="5"/>
        <color rgb="FF7D62A2"/>
      </dataBar>
      <extLst>
        <ext xmlns:x14="http://schemas.microsoft.com/office/spreadsheetml/2009/9/main" uri="{B025F937-C7B1-47D3-B67F-A62EFF666E3E}">
          <x14:id>{841CCB33-F29B-4E70-A417-B7C0567A3CB6}</x14:id>
        </ext>
      </extLst>
    </cfRule>
  </conditionalFormatting>
  <conditionalFormatting sqref="E10:E11 E13">
    <cfRule type="dataBar" priority="13">
      <dataBar>
        <cfvo type="num" val="0"/>
        <cfvo type="num" val="5"/>
        <color theme="7" tint="0.79998168889431442"/>
      </dataBar>
      <extLst>
        <ext xmlns:x14="http://schemas.microsoft.com/office/spreadsheetml/2009/9/main" uri="{B025F937-C7B1-47D3-B67F-A62EFF666E3E}">
          <x14:id>{51E0919E-7F74-433C-A908-6B5D8561F318}</x14:id>
        </ext>
      </extLst>
    </cfRule>
  </conditionalFormatting>
  <conditionalFormatting sqref="E6:E8">
    <cfRule type="dataBar" priority="14">
      <dataBar>
        <cfvo type="num" val="0"/>
        <cfvo type="num" val="5"/>
        <color theme="7" tint="0.79998168889431442"/>
      </dataBar>
      <extLst>
        <ext xmlns:x14="http://schemas.microsoft.com/office/spreadsheetml/2009/9/main" uri="{B025F937-C7B1-47D3-B67F-A62EFF666E3E}">
          <x14:id>{2CB805BE-E250-40DF-9896-EEFA6E14A72C}</x14:id>
        </ext>
      </extLst>
    </cfRule>
  </conditionalFormatting>
  <conditionalFormatting sqref="E14">
    <cfRule type="dataBar" priority="6">
      <dataBar>
        <cfvo type="num" val="0"/>
        <cfvo type="num" val="5"/>
        <color theme="7" tint="0.79998168889431442"/>
      </dataBar>
      <extLst>
        <ext xmlns:x14="http://schemas.microsoft.com/office/spreadsheetml/2009/9/main" uri="{B025F937-C7B1-47D3-B67F-A62EFF666E3E}">
          <x14:id>{28DF80AE-D220-4C68-9D09-A5D78D4EC86D}</x14:id>
        </ext>
      </extLst>
    </cfRule>
  </conditionalFormatting>
  <conditionalFormatting sqref="E16:E21">
    <cfRule type="dataBar" priority="5">
      <dataBar>
        <cfvo type="num" val="0"/>
        <cfvo type="num" val="5"/>
        <color theme="7" tint="0.79998168889431442"/>
      </dataBar>
      <extLst>
        <ext xmlns:x14="http://schemas.microsoft.com/office/spreadsheetml/2009/9/main" uri="{B025F937-C7B1-47D3-B67F-A62EFF666E3E}">
          <x14:id>{EA0D8366-A3EF-4941-845B-165AE688E306}</x14:id>
        </ext>
      </extLst>
    </cfRule>
  </conditionalFormatting>
  <conditionalFormatting sqref="E23:E28">
    <cfRule type="dataBar" priority="4">
      <dataBar>
        <cfvo type="num" val="0"/>
        <cfvo type="num" val="5"/>
        <color theme="7" tint="0.79998168889431442"/>
      </dataBar>
      <extLst>
        <ext xmlns:x14="http://schemas.microsoft.com/office/spreadsheetml/2009/9/main" uri="{B025F937-C7B1-47D3-B67F-A62EFF666E3E}">
          <x14:id>{EB10504F-417E-4D32-975C-6B007B0D88F9}</x14:id>
        </ext>
      </extLst>
    </cfRule>
  </conditionalFormatting>
  <conditionalFormatting sqref="E15">
    <cfRule type="dataBar" priority="2">
      <dataBar>
        <cfvo type="num" val="0"/>
        <cfvo type="num" val="5"/>
        <color theme="7" tint="0.79998168889431442"/>
      </dataBar>
      <extLst>
        <ext xmlns:x14="http://schemas.microsoft.com/office/spreadsheetml/2009/9/main" uri="{B025F937-C7B1-47D3-B67F-A62EFF666E3E}">
          <x14:id>{3937B26D-9772-4DFC-B3AD-DEFACC1C809A}</x14:id>
        </ext>
      </extLst>
    </cfRule>
  </conditionalFormatting>
  <conditionalFormatting sqref="E9">
    <cfRule type="dataBar" priority="1">
      <dataBar>
        <cfvo type="num" val="0"/>
        <cfvo type="num" val="5"/>
        <color theme="7" tint="0.79998168889431442"/>
      </dataBar>
      <extLst>
        <ext xmlns:x14="http://schemas.microsoft.com/office/spreadsheetml/2009/9/main" uri="{B025F937-C7B1-47D3-B67F-A62EFF666E3E}">
          <x14:id>{71F3FDF3-3DB9-43CD-A05F-28AF99C566FB}</x14:id>
        </ext>
      </extLst>
    </cfRule>
  </conditionalFormatting>
  <dataValidations count="1">
    <dataValidation type="decimal" allowBlank="1" showErrorMessage="1" errorTitle="Invalid target" error="Targets must be between 0 and 5" sqref="N23:S28 N5:S11 N13:S21" xr:uid="{00000000-0002-0000-0300-000000000000}">
      <formula1>0</formula1>
      <formula2>5</formula2>
    </dataValidation>
  </dataValidations>
  <pageMargins left="0.7" right="0.7" top="0.75" bottom="0.75" header="0.3" footer="0.3"/>
  <pageSetup paperSize="9" scale="68" fitToHeight="0" orientation="landscape" horizontalDpi="4294967293" r:id="rId1"/>
  <drawing r:id="rId2"/>
  <legacyDrawing r:id="rId3"/>
  <controls>
    <mc:AlternateContent xmlns:mc="http://schemas.openxmlformats.org/markup-compatibility/2006">
      <mc:Choice Requires="x14">
        <control shapeId="67597" r:id="rId4" name="OptionButton4">
          <controlPr defaultSize="0" autoFill="0" autoLine="0" autoPict="0" linkedCell="L8" r:id="rId5">
            <anchor moveWithCells="1">
              <from>
                <xdr:col>7</xdr:col>
                <xdr:colOff>76200</xdr:colOff>
                <xdr:row>9</xdr:row>
                <xdr:rowOff>171450</xdr:rowOff>
              </from>
              <to>
                <xdr:col>8</xdr:col>
                <xdr:colOff>762000</xdr:colOff>
                <xdr:row>10</xdr:row>
                <xdr:rowOff>95250</xdr:rowOff>
              </to>
            </anchor>
          </controlPr>
        </control>
      </mc:Choice>
      <mc:Fallback>
        <control shapeId="67597" r:id="rId4" name="OptionButton4"/>
      </mc:Fallback>
    </mc:AlternateContent>
    <mc:AlternateContent xmlns:mc="http://schemas.openxmlformats.org/markup-compatibility/2006">
      <mc:Choice Requires="x14">
        <control shapeId="67596" r:id="rId6" name="OptionButton3">
          <controlPr defaultSize="0" autoFill="0" autoLine="0" autoPict="0" linkedCell="L6" r:id="rId7">
            <anchor moveWithCells="1">
              <from>
                <xdr:col>7</xdr:col>
                <xdr:colOff>76200</xdr:colOff>
                <xdr:row>7</xdr:row>
                <xdr:rowOff>161925</xdr:rowOff>
              </from>
              <to>
                <xdr:col>8</xdr:col>
                <xdr:colOff>885825</xdr:colOff>
                <xdr:row>8</xdr:row>
                <xdr:rowOff>95250</xdr:rowOff>
              </to>
            </anchor>
          </controlPr>
        </control>
      </mc:Choice>
      <mc:Fallback>
        <control shapeId="67596" r:id="rId6" name="OptionButton3"/>
      </mc:Fallback>
    </mc:AlternateContent>
    <mc:AlternateContent xmlns:mc="http://schemas.openxmlformats.org/markup-compatibility/2006">
      <mc:Choice Requires="x14">
        <control shapeId="67595" r:id="rId8" name="OptionButton2">
          <controlPr defaultSize="0" autoFill="0" autoLine="0" autoPict="0" linkedCell="L5" r:id="rId9">
            <anchor moveWithCells="1">
              <from>
                <xdr:col>7</xdr:col>
                <xdr:colOff>76200</xdr:colOff>
                <xdr:row>6</xdr:row>
                <xdr:rowOff>161925</xdr:rowOff>
              </from>
              <to>
                <xdr:col>8</xdr:col>
                <xdr:colOff>866775</xdr:colOff>
                <xdr:row>7</xdr:row>
                <xdr:rowOff>95250</xdr:rowOff>
              </to>
            </anchor>
          </controlPr>
        </control>
      </mc:Choice>
      <mc:Fallback>
        <control shapeId="67595" r:id="rId8" name="OptionButton2"/>
      </mc:Fallback>
    </mc:AlternateContent>
    <mc:AlternateContent xmlns:mc="http://schemas.openxmlformats.org/markup-compatibility/2006">
      <mc:Choice Requires="x14">
        <control shapeId="67594" r:id="rId10" name="OptionButton1">
          <controlPr defaultSize="0" autoFill="0" autoLine="0" autoPict="0" linkedCell="L4" r:id="rId11">
            <anchor moveWithCells="1">
              <from>
                <xdr:col>7</xdr:col>
                <xdr:colOff>76200</xdr:colOff>
                <xdr:row>5</xdr:row>
                <xdr:rowOff>161925</xdr:rowOff>
              </from>
              <to>
                <xdr:col>8</xdr:col>
                <xdr:colOff>819150</xdr:colOff>
                <xdr:row>6</xdr:row>
                <xdr:rowOff>95250</xdr:rowOff>
              </to>
            </anchor>
          </controlPr>
        </control>
      </mc:Choice>
      <mc:Fallback>
        <control shapeId="67594" r:id="rId10" name="OptionButton1"/>
      </mc:Fallback>
    </mc:AlternateContent>
    <mc:AlternateContent xmlns:mc="http://schemas.openxmlformats.org/markup-compatibility/2006">
      <mc:Choice Requires="x14">
        <control shapeId="67599" r:id="rId12" name="OptionButton5">
          <controlPr defaultSize="0" autoFill="0" autoLine="0" autoPict="0" linkedCell="L3" r:id="rId13">
            <anchor moveWithCells="1">
              <from>
                <xdr:col>7</xdr:col>
                <xdr:colOff>76200</xdr:colOff>
                <xdr:row>4</xdr:row>
                <xdr:rowOff>152400</xdr:rowOff>
              </from>
              <to>
                <xdr:col>8</xdr:col>
                <xdr:colOff>857250</xdr:colOff>
                <xdr:row>5</xdr:row>
                <xdr:rowOff>85725</xdr:rowOff>
              </to>
            </anchor>
          </controlPr>
        </control>
      </mc:Choice>
      <mc:Fallback>
        <control shapeId="67599" r:id="rId12" name="OptionButton5"/>
      </mc:Fallback>
    </mc:AlternateContent>
    <mc:AlternateContent xmlns:mc="http://schemas.openxmlformats.org/markup-compatibility/2006">
      <mc:Choice Requires="x14">
        <control shapeId="67600" r:id="rId14" name="OptionButton6">
          <controlPr defaultSize="0" autoFill="0" autoLine="0" autoPict="0" linkedCell="L7" r:id="rId15">
            <anchor moveWithCells="1">
              <from>
                <xdr:col>7</xdr:col>
                <xdr:colOff>76200</xdr:colOff>
                <xdr:row>8</xdr:row>
                <xdr:rowOff>171450</xdr:rowOff>
              </from>
              <to>
                <xdr:col>8</xdr:col>
                <xdr:colOff>590550</xdr:colOff>
                <xdr:row>9</xdr:row>
                <xdr:rowOff>104775</xdr:rowOff>
              </to>
            </anchor>
          </controlPr>
        </control>
      </mc:Choice>
      <mc:Fallback>
        <control shapeId="67600" r:id="rId14" name="OptionButton6"/>
      </mc:Fallback>
    </mc:AlternateContent>
    <mc:AlternateContent xmlns:mc="http://schemas.openxmlformats.org/markup-compatibility/2006">
      <mc:Choice Requires="x14">
        <control shapeId="67593" r:id="rId16" name="Group Box 9">
          <controlPr defaultSize="0" autoFill="0" autoPict="0" altText="">
            <anchor moveWithCells="1">
              <from>
                <xdr:col>7</xdr:col>
                <xdr:colOff>0</xdr:colOff>
                <xdr:row>4</xdr:row>
                <xdr:rowOff>19050</xdr:rowOff>
              </from>
              <to>
                <xdr:col>9</xdr:col>
                <xdr:colOff>47625</xdr:colOff>
                <xdr:row>10</xdr:row>
                <xdr:rowOff>238125</xdr:rowOff>
              </to>
            </anchor>
          </controlPr>
        </control>
      </mc:Choice>
    </mc:AlternateContent>
  </controls>
  <extLst>
    <ext xmlns:x14="http://schemas.microsoft.com/office/spreadsheetml/2009/9/main" uri="{78C0D931-6437-407d-A8EE-F0AAD7539E65}">
      <x14:conditionalFormattings>
        <x14:conditionalFormatting xmlns:xm="http://schemas.microsoft.com/office/excel/2006/main">
          <x14:cfRule type="dataBar" id="{3A5EB843-3860-4A82-80B4-4C44A3877570}">
            <x14:dataBar minLength="0" maxLength="100" gradient="0">
              <x14:cfvo type="num">
                <xm:f>0</xm:f>
              </x14:cfvo>
              <x14:cfvo type="num">
                <xm:f>5</xm:f>
              </x14:cfvo>
              <x14:negativeFillColor rgb="FFFF0000"/>
              <x14:axisColor rgb="FF000000"/>
            </x14:dataBar>
          </x14:cfRule>
          <xm:sqref>E5</xm:sqref>
        </x14:conditionalFormatting>
        <x14:conditionalFormatting xmlns:xm="http://schemas.microsoft.com/office/excel/2006/main">
          <x14:cfRule type="dataBar" id="{841CCB33-F29B-4E70-A417-B7C0567A3CB6}">
            <x14:dataBar minLength="0" maxLength="100" gradient="0">
              <x14:cfvo type="num">
                <xm:f>0</xm:f>
              </x14:cfvo>
              <x14:cfvo type="num">
                <xm:f>5</xm:f>
              </x14:cfvo>
              <x14:negativeFillColor rgb="FFFF0000"/>
              <x14:axisColor rgb="FF000000"/>
            </x14:dataBar>
          </x14:cfRule>
          <xm:sqref>E3</xm:sqref>
        </x14:conditionalFormatting>
        <x14:conditionalFormatting xmlns:xm="http://schemas.microsoft.com/office/excel/2006/main">
          <x14:cfRule type="dataBar" id="{51E0919E-7F74-433C-A908-6B5D8561F318}">
            <x14:dataBar minLength="0" maxLength="100" gradient="0">
              <x14:cfvo type="num">
                <xm:f>0</xm:f>
              </x14:cfvo>
              <x14:cfvo type="num">
                <xm:f>5</xm:f>
              </x14:cfvo>
              <x14:negativeFillColor rgb="FFFF0000"/>
              <x14:axisColor rgb="FF000000"/>
            </x14:dataBar>
          </x14:cfRule>
          <xm:sqref>E10:E11 E13</xm:sqref>
        </x14:conditionalFormatting>
        <x14:conditionalFormatting xmlns:xm="http://schemas.microsoft.com/office/excel/2006/main">
          <x14:cfRule type="dataBar" id="{2CB805BE-E250-40DF-9896-EEFA6E14A72C}">
            <x14:dataBar minLength="0" maxLength="100" gradient="0">
              <x14:cfvo type="num">
                <xm:f>0</xm:f>
              </x14:cfvo>
              <x14:cfvo type="num">
                <xm:f>5</xm:f>
              </x14:cfvo>
              <x14:negativeFillColor rgb="FFFF0000"/>
              <x14:axisColor rgb="FF000000"/>
            </x14:dataBar>
          </x14:cfRule>
          <xm:sqref>E6:E8</xm:sqref>
        </x14:conditionalFormatting>
        <x14:conditionalFormatting xmlns:xm="http://schemas.microsoft.com/office/excel/2006/main">
          <x14:cfRule type="dataBar" id="{28DF80AE-D220-4C68-9D09-A5D78D4EC86D}">
            <x14:dataBar minLength="0" maxLength="100" gradient="0">
              <x14:cfvo type="num">
                <xm:f>0</xm:f>
              </x14:cfvo>
              <x14:cfvo type="num">
                <xm:f>5</xm:f>
              </x14:cfvo>
              <x14:negativeFillColor rgb="FFFF0000"/>
              <x14:axisColor rgb="FF000000"/>
            </x14:dataBar>
          </x14:cfRule>
          <xm:sqref>E14</xm:sqref>
        </x14:conditionalFormatting>
        <x14:conditionalFormatting xmlns:xm="http://schemas.microsoft.com/office/excel/2006/main">
          <x14:cfRule type="dataBar" id="{EA0D8366-A3EF-4941-845B-165AE688E306}">
            <x14:dataBar minLength="0" maxLength="100" gradient="0">
              <x14:cfvo type="num">
                <xm:f>0</xm:f>
              </x14:cfvo>
              <x14:cfvo type="num">
                <xm:f>5</xm:f>
              </x14:cfvo>
              <x14:negativeFillColor rgb="FFFF0000"/>
              <x14:axisColor rgb="FF000000"/>
            </x14:dataBar>
          </x14:cfRule>
          <xm:sqref>E16:E21</xm:sqref>
        </x14:conditionalFormatting>
        <x14:conditionalFormatting xmlns:xm="http://schemas.microsoft.com/office/excel/2006/main">
          <x14:cfRule type="dataBar" id="{EB10504F-417E-4D32-975C-6B007B0D88F9}">
            <x14:dataBar minLength="0" maxLength="100" gradient="0">
              <x14:cfvo type="num">
                <xm:f>0</xm:f>
              </x14:cfvo>
              <x14:cfvo type="num">
                <xm:f>5</xm:f>
              </x14:cfvo>
              <x14:negativeFillColor rgb="FFFF0000"/>
              <x14:axisColor rgb="FF000000"/>
            </x14:dataBar>
          </x14:cfRule>
          <xm:sqref>E23:E28</xm:sqref>
        </x14:conditionalFormatting>
        <x14:conditionalFormatting xmlns:xm="http://schemas.microsoft.com/office/excel/2006/main">
          <x14:cfRule type="dataBar" id="{3937B26D-9772-4DFC-B3AD-DEFACC1C809A}">
            <x14:dataBar minLength="0" maxLength="100" gradient="0">
              <x14:cfvo type="num">
                <xm:f>0</xm:f>
              </x14:cfvo>
              <x14:cfvo type="num">
                <xm:f>5</xm:f>
              </x14:cfvo>
              <x14:negativeFillColor rgb="FFFF0000"/>
              <x14:axisColor rgb="FF000000"/>
            </x14:dataBar>
          </x14:cfRule>
          <xm:sqref>E15</xm:sqref>
        </x14:conditionalFormatting>
        <x14:conditionalFormatting xmlns:xm="http://schemas.microsoft.com/office/excel/2006/main">
          <x14:cfRule type="dataBar" id="{71F3FDF3-3DB9-43CD-A05F-28AF99C566FB}">
            <x14:dataBar minLength="0" maxLength="100" gradient="0">
              <x14:cfvo type="num">
                <xm:f>0</xm:f>
              </x14:cfvo>
              <x14:cfvo type="num">
                <xm:f>5</xm:f>
              </x14:cfvo>
              <x14:negativeFillColor rgb="FFFF0000"/>
              <x14:axisColor rgb="FF000000"/>
            </x14:dataBar>
          </x14:cfRule>
          <xm:sqref>E9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pageSetUpPr autoPageBreaks="0" fitToPage="1"/>
  </sheetPr>
  <dimension ref="A1:AI205"/>
  <sheetViews>
    <sheetView showGridLines="0" showRowColHeaders="0" zoomScaleNormal="100" workbookViewId="0">
      <pane ySplit="7" topLeftCell="A8" activePane="bottomLeft" state="frozen"/>
      <selection activeCell="D1" sqref="D1"/>
      <selection pane="bottomLeft" activeCell="I4" sqref="I4:M4"/>
    </sheetView>
  </sheetViews>
  <sheetFormatPr defaultColWidth="9.140625" defaultRowHeight="15" x14ac:dyDescent="0.25"/>
  <cols>
    <col min="1" max="1" width="9.28515625" style="9" hidden="1" customWidth="1"/>
    <col min="2" max="2" width="8.85546875" style="66" hidden="1" customWidth="1"/>
    <col min="3" max="3" width="8.85546875" style="13" hidden="1" customWidth="1"/>
    <col min="4" max="4" width="6.28515625" style="20" customWidth="1"/>
    <col min="5" max="5" width="15.5703125" style="13" customWidth="1"/>
    <col min="6" max="6" width="67.42578125" style="13" customWidth="1"/>
    <col min="7" max="7" width="20.28515625" style="13" customWidth="1"/>
    <col min="8" max="13" width="12.7109375" style="13" customWidth="1"/>
    <col min="14" max="17" width="9.140625" style="13" customWidth="1"/>
    <col min="18" max="22" width="9.140625" style="21" hidden="1" customWidth="1"/>
    <col min="23" max="23" width="9.140625" style="75" hidden="1" customWidth="1"/>
    <col min="24" max="24" width="9.140625" style="209" hidden="1" customWidth="1"/>
    <col min="25" max="25" width="9.140625" style="21" hidden="1" customWidth="1"/>
    <col min="26" max="34" width="9.140625" style="19" customWidth="1"/>
    <col min="35" max="35" width="9.140625" style="150" customWidth="1"/>
    <col min="36" max="16384" width="9.140625" style="19"/>
  </cols>
  <sheetData>
    <row r="1" spans="1:35" s="13" customFormat="1" x14ac:dyDescent="0.25">
      <c r="A1" s="9"/>
      <c r="B1" s="66"/>
      <c r="D1" s="20"/>
      <c r="R1" s="21"/>
      <c r="S1" s="21"/>
      <c r="T1" s="21"/>
      <c r="U1" s="21"/>
      <c r="V1" s="21"/>
      <c r="W1" s="75"/>
      <c r="X1" s="209"/>
      <c r="Y1" s="21"/>
      <c r="AI1" s="49"/>
    </row>
    <row r="2" spans="1:35" s="100" customFormat="1" ht="15" customHeight="1" x14ac:dyDescent="0.4">
      <c r="A2" s="98"/>
      <c r="B2" s="99"/>
      <c r="D2" s="76"/>
      <c r="E2" s="19"/>
      <c r="F2" s="320" t="s">
        <v>84</v>
      </c>
      <c r="R2" s="170"/>
      <c r="S2" s="170"/>
      <c r="T2" s="170"/>
      <c r="U2" s="170"/>
      <c r="V2" s="170"/>
      <c r="W2" s="101"/>
      <c r="X2" s="170"/>
      <c r="Y2" s="170"/>
      <c r="AA2" s="164"/>
      <c r="AB2" s="164"/>
      <c r="AC2" s="164"/>
      <c r="AI2" s="101"/>
    </row>
    <row r="3" spans="1:35" s="100" customFormat="1" ht="15" customHeight="1" thickBot="1" x14ac:dyDescent="0.45">
      <c r="A3" s="98"/>
      <c r="B3" s="99"/>
      <c r="D3" s="76"/>
      <c r="E3" s="19"/>
      <c r="F3" s="320"/>
      <c r="I3" s="102" t="s">
        <v>54</v>
      </c>
      <c r="J3" s="102" t="s">
        <v>55</v>
      </c>
      <c r="K3" s="102" t="s">
        <v>56</v>
      </c>
      <c r="L3" s="102" t="s">
        <v>57</v>
      </c>
      <c r="M3" s="102" t="s">
        <v>58</v>
      </c>
      <c r="R3" s="170"/>
      <c r="S3" s="170"/>
      <c r="T3" s="170"/>
      <c r="U3" s="170"/>
      <c r="V3" s="170"/>
      <c r="W3" s="101"/>
      <c r="X3" s="170"/>
      <c r="Y3" s="170"/>
      <c r="AA3" s="164"/>
      <c r="AB3" s="164"/>
      <c r="AC3" s="164"/>
      <c r="AI3" s="101"/>
    </row>
    <row r="4" spans="1:35" s="100" customFormat="1" ht="15" customHeight="1" thickTop="1" thickBot="1" x14ac:dyDescent="0.45">
      <c r="A4" s="98"/>
      <c r="B4" s="99"/>
      <c r="D4" s="76"/>
      <c r="E4" s="19"/>
      <c r="F4" s="320"/>
      <c r="I4" s="104" t="s">
        <v>117</v>
      </c>
      <c r="J4" s="104" t="s">
        <v>59</v>
      </c>
      <c r="K4" s="104" t="s">
        <v>60</v>
      </c>
      <c r="L4" s="104" t="s">
        <v>61</v>
      </c>
      <c r="M4" s="104" t="s">
        <v>62</v>
      </c>
      <c r="R4" s="212">
        <f>VALUE(TRIM(LEFT(I4,FIND("-",I4)-1)))</f>
        <v>0</v>
      </c>
      <c r="S4" s="212">
        <f>VALUE(TRIM(LEFT(J4,FIND("-",J4)-1)))</f>
        <v>9</v>
      </c>
      <c r="T4" s="212">
        <f>VALUE(TRIM(LEFT(K4,FIND("-",K4)-1)))</f>
        <v>31</v>
      </c>
      <c r="U4" s="212">
        <f>VALUE(TRIM(LEFT(L4,FIND("-",L4)-1)))</f>
        <v>71</v>
      </c>
      <c r="V4" s="212">
        <f>VALUE(TRIM(LEFT(M4,FIND("-",M4)-1)))</f>
        <v>93</v>
      </c>
      <c r="W4" s="103"/>
      <c r="X4" s="170"/>
      <c r="Y4" s="170"/>
      <c r="AA4" s="164"/>
      <c r="AB4" s="164"/>
      <c r="AC4" s="164"/>
      <c r="AI4" s="101"/>
    </row>
    <row r="5" spans="1:35" s="100" customFormat="1" ht="15" customHeight="1" thickTop="1" x14ac:dyDescent="0.4">
      <c r="A5" s="98"/>
      <c r="B5" s="99"/>
      <c r="D5" s="76"/>
      <c r="E5" s="19"/>
      <c r="F5" s="320"/>
      <c r="I5" s="105" t="s">
        <v>36</v>
      </c>
      <c r="J5" s="105" t="s">
        <v>37</v>
      </c>
      <c r="K5" s="105" t="s">
        <v>38</v>
      </c>
      <c r="L5" s="105" t="s">
        <v>39</v>
      </c>
      <c r="M5" s="105" t="s">
        <v>40</v>
      </c>
      <c r="R5" s="212" t="s">
        <v>36</v>
      </c>
      <c r="S5" s="212" t="s">
        <v>37</v>
      </c>
      <c r="T5" s="212" t="s">
        <v>38</v>
      </c>
      <c r="U5" s="212" t="s">
        <v>39</v>
      </c>
      <c r="V5" s="212" t="s">
        <v>40</v>
      </c>
      <c r="W5" s="103"/>
      <c r="X5" s="170"/>
      <c r="Y5" s="170"/>
      <c r="AA5" s="164"/>
      <c r="AB5" s="164"/>
      <c r="AC5" s="164"/>
      <c r="AI5" s="101"/>
    </row>
    <row r="6" spans="1:35" s="13" customFormat="1" ht="11.25" customHeight="1" x14ac:dyDescent="0.25">
      <c r="A6" s="9"/>
      <c r="B6" s="66"/>
      <c r="D6" s="20"/>
      <c r="R6" s="21">
        <v>1</v>
      </c>
      <c r="S6" s="21">
        <v>2</v>
      </c>
      <c r="T6" s="21">
        <v>3</v>
      </c>
      <c r="U6" s="21">
        <v>4</v>
      </c>
      <c r="V6" s="21">
        <v>5</v>
      </c>
      <c r="W6" s="49"/>
      <c r="X6" s="209"/>
      <c r="Y6" s="21"/>
      <c r="AI6" s="49"/>
    </row>
    <row r="7" spans="1:35" s="13" customFormat="1" ht="36" customHeight="1" x14ac:dyDescent="0.3">
      <c r="A7" s="9" t="s">
        <v>72</v>
      </c>
      <c r="B7" s="66" t="s">
        <v>77</v>
      </c>
      <c r="C7" s="13" t="s">
        <v>76</v>
      </c>
      <c r="D7" s="20"/>
      <c r="F7" s="33"/>
      <c r="G7" s="52" t="s">
        <v>8</v>
      </c>
      <c r="H7" s="58"/>
      <c r="I7" s="58"/>
      <c r="J7" s="58"/>
      <c r="K7" s="58"/>
      <c r="L7" s="58"/>
      <c r="R7" s="21"/>
      <c r="S7" s="21"/>
      <c r="T7" s="21"/>
      <c r="U7" s="21"/>
      <c r="V7" s="21"/>
      <c r="W7" s="75"/>
      <c r="X7" s="209"/>
      <c r="Y7" s="21"/>
      <c r="AD7" s="163"/>
      <c r="AE7" s="163"/>
      <c r="AF7" s="163"/>
      <c r="AG7" s="163"/>
      <c r="AI7" s="49"/>
    </row>
    <row r="8" spans="1:35" s="76" customFormat="1" ht="34.9" customHeight="1" x14ac:dyDescent="0.25">
      <c r="A8" s="73">
        <v>1</v>
      </c>
      <c r="B8" s="167" t="str">
        <f t="shared" ref="B8:B39" ca="1" si="0">VLOOKUP(A8,Contents_Text,2,FALSE)</f>
        <v>A</v>
      </c>
      <c r="C8" s="20">
        <f t="shared" ref="C8:C39" ca="1" si="1">VLOOKUP(A8,Contents_Text,15,FALSE)</f>
        <v>1</v>
      </c>
      <c r="D8" s="20" t="s">
        <v>216</v>
      </c>
      <c r="E8" s="119" t="str">
        <f t="shared" ref="E8:E39" ca="1" si="2">IF(C8=1,"Stage "&amp;B8,IF(C8=2,"Step "&amp;VLOOKUP(A8,Contents_Text,4,FALSE),B8))</f>
        <v>Stage A</v>
      </c>
      <c r="F8" s="120" t="str">
        <f t="shared" ref="F8:F39" ca="1" si="3">VLOOKUP(A8,Contents_Text,7,FALSE)</f>
        <v>Preparation</v>
      </c>
      <c r="G8" s="109"/>
      <c r="H8" s="110"/>
      <c r="I8" s="110"/>
      <c r="J8" s="110"/>
      <c r="K8" s="110"/>
      <c r="L8" s="110"/>
      <c r="M8" s="109"/>
      <c r="N8" s="109"/>
      <c r="O8" s="109"/>
      <c r="P8" s="109"/>
      <c r="Q8" s="109"/>
      <c r="R8" s="213"/>
      <c r="S8" s="213"/>
      <c r="T8" s="214" t="str">
        <f t="shared" ref="T8:T39" ca="1" si="4">E8</f>
        <v>Stage A</v>
      </c>
      <c r="U8" s="213"/>
      <c r="V8" s="213"/>
      <c r="W8" s="79">
        <v>0</v>
      </c>
      <c r="X8" s="173">
        <f t="shared" ref="X8:X39" ca="1" si="5">VLOOKUP(A8,Contents_Text,8,FALSE)</f>
        <v>0</v>
      </c>
      <c r="Y8" s="210" t="e">
        <f t="shared" ref="Y8:Y71" si="6">VLOOKUP(W8,weighting_response_reverse,2,FALSE)</f>
        <v>#N/A</v>
      </c>
      <c r="AI8" s="83"/>
    </row>
    <row r="9" spans="1:35" s="77" customFormat="1" ht="30" customHeight="1" x14ac:dyDescent="0.25">
      <c r="A9" s="68">
        <v>2</v>
      </c>
      <c r="B9" s="165" t="str">
        <f t="shared" ca="1" si="0"/>
        <v>A.1</v>
      </c>
      <c r="C9" s="20">
        <f t="shared" ca="1" si="1"/>
        <v>2</v>
      </c>
      <c r="D9" s="20"/>
      <c r="E9" s="199" t="str">
        <f t="shared" ca="1" si="2"/>
        <v>Step 1</v>
      </c>
      <c r="F9" s="202" t="str">
        <f t="shared" ca="1" si="3"/>
        <v>Maintain a technical security assurance framework</v>
      </c>
      <c r="G9" s="202"/>
      <c r="H9" s="202"/>
      <c r="I9" s="202"/>
      <c r="J9" s="202"/>
      <c r="K9" s="202"/>
      <c r="L9" s="202"/>
      <c r="M9" s="202"/>
      <c r="N9" s="202"/>
      <c r="O9" s="202"/>
      <c r="P9" s="202"/>
      <c r="Q9" s="202"/>
      <c r="R9" s="215"/>
      <c r="S9" s="216"/>
      <c r="T9" s="217" t="str">
        <f t="shared" ca="1" si="4"/>
        <v>Step 1</v>
      </c>
      <c r="U9" s="216"/>
      <c r="V9" s="216"/>
      <c r="W9" s="81">
        <v>0</v>
      </c>
      <c r="X9" s="87">
        <f t="shared" ca="1" si="5"/>
        <v>0</v>
      </c>
      <c r="Y9" s="211" t="e">
        <f t="shared" si="6"/>
        <v>#N/A</v>
      </c>
      <c r="AI9" s="84"/>
    </row>
    <row r="10" spans="1:35" s="76" customFormat="1" ht="30" customHeight="1" x14ac:dyDescent="0.25">
      <c r="A10" s="73">
        <v>3</v>
      </c>
      <c r="B10" s="167" t="str">
        <f t="shared" ca="1" si="0"/>
        <v>A.1.01</v>
      </c>
      <c r="C10" s="20">
        <f t="shared" ca="1" si="1"/>
        <v>5</v>
      </c>
      <c r="D10" s="20"/>
      <c r="E10" s="201" t="str">
        <f t="shared" ca="1" si="2"/>
        <v>A.1.01</v>
      </c>
      <c r="F10" s="204" t="str">
        <f t="shared" ca="1" si="3"/>
        <v>Have you identified and recorded all main internal systems that support your organisation?</v>
      </c>
      <c r="G10" s="206"/>
      <c r="H10" s="208"/>
      <c r="I10" s="208"/>
      <c r="J10" s="208"/>
      <c r="K10" s="208"/>
      <c r="L10" s="208"/>
      <c r="M10" s="208"/>
      <c r="N10" s="20"/>
      <c r="O10" s="20"/>
      <c r="P10" s="20"/>
      <c r="Q10" s="20"/>
      <c r="R10" s="152"/>
      <c r="S10" s="152"/>
      <c r="T10" s="214" t="str">
        <f t="shared" ca="1" si="4"/>
        <v>A.1.01</v>
      </c>
      <c r="U10" s="152"/>
      <c r="V10" s="152"/>
      <c r="W10" s="79">
        <v>2</v>
      </c>
      <c r="X10" s="173">
        <f t="shared" ca="1" si="5"/>
        <v>2</v>
      </c>
      <c r="Y10" s="210" t="str">
        <f t="shared" si="6"/>
        <v>x 2</v>
      </c>
      <c r="AI10" s="83"/>
    </row>
    <row r="11" spans="1:35" s="77" customFormat="1" ht="75" x14ac:dyDescent="0.25">
      <c r="A11" s="68">
        <v>4</v>
      </c>
      <c r="B11" s="165" t="str">
        <f t="shared" ca="1" si="0"/>
        <v/>
      </c>
      <c r="C11" s="70">
        <f t="shared" ca="1" si="1"/>
        <v>3</v>
      </c>
      <c r="D11" s="20"/>
      <c r="E11" s="71" t="str">
        <f t="shared" ca="1" si="2"/>
        <v/>
      </c>
      <c r="F11" s="166" t="str">
        <f t="shared" ca="1" si="3"/>
        <v>Documentation about these systems would typically include: their level of criticality to the business; the sensitivity of any information they handle; any key dependencies; network diagrams, data flow and trust boundaries; details about important third party suppliers; IT infrastructure; and points of contact, roles and responsibilities.</v>
      </c>
      <c r="G11" s="168"/>
      <c r="H11" s="169"/>
      <c r="I11" s="169"/>
      <c r="J11" s="169"/>
      <c r="K11" s="169"/>
      <c r="L11" s="169"/>
      <c r="M11" s="169"/>
      <c r="N11" s="70"/>
      <c r="O11" s="70"/>
      <c r="P11" s="70"/>
      <c r="Q11" s="70"/>
      <c r="R11" s="218"/>
      <c r="S11" s="218"/>
      <c r="T11" s="217" t="str">
        <f t="shared" ca="1" si="4"/>
        <v/>
      </c>
      <c r="U11" s="218"/>
      <c r="V11" s="218"/>
      <c r="W11" s="80">
        <v>0</v>
      </c>
      <c r="X11" s="87">
        <f t="shared" ca="1" si="5"/>
        <v>0</v>
      </c>
      <c r="Y11" s="211" t="e">
        <f t="shared" si="6"/>
        <v>#N/A</v>
      </c>
      <c r="AH11" s="20"/>
      <c r="AI11" s="84"/>
    </row>
    <row r="12" spans="1:35" s="77" customFormat="1" ht="30" customHeight="1" x14ac:dyDescent="0.25">
      <c r="A12" s="68">
        <v>5</v>
      </c>
      <c r="B12" s="165" t="str">
        <f t="shared" ca="1" si="0"/>
        <v>A.1.02</v>
      </c>
      <c r="C12" s="70">
        <f t="shared" ca="1" si="1"/>
        <v>5</v>
      </c>
      <c r="D12" s="20"/>
      <c r="E12" s="71" t="str">
        <f t="shared" ca="1" si="2"/>
        <v>A.1.02</v>
      </c>
      <c r="F12" s="72" t="str">
        <f t="shared" ca="1" si="3"/>
        <v>Do you apply different levels of security assurance for different systems based on their criticality or the sensitivity of the information they handle?</v>
      </c>
      <c r="G12" s="168"/>
      <c r="H12" s="169"/>
      <c r="I12" s="169"/>
      <c r="J12" s="169"/>
      <c r="K12" s="169"/>
      <c r="L12" s="169"/>
      <c r="M12" s="169"/>
      <c r="N12" s="70"/>
      <c r="O12" s="70"/>
      <c r="P12" s="70"/>
      <c r="Q12" s="70"/>
      <c r="R12" s="218"/>
      <c r="S12" s="218"/>
      <c r="T12" s="217" t="str">
        <f t="shared" ca="1" si="4"/>
        <v>A.1.02</v>
      </c>
      <c r="U12" s="218"/>
      <c r="V12" s="218"/>
      <c r="W12" s="81">
        <v>4</v>
      </c>
      <c r="X12" s="87">
        <f t="shared" ca="1" si="5"/>
        <v>4</v>
      </c>
      <c r="Y12" s="211" t="str">
        <f t="shared" si="6"/>
        <v>x 4</v>
      </c>
      <c r="AH12" s="76"/>
      <c r="AI12" s="84"/>
    </row>
    <row r="13" spans="1:35" s="77" customFormat="1" ht="30" customHeight="1" x14ac:dyDescent="0.25">
      <c r="A13" s="68">
        <v>6</v>
      </c>
      <c r="B13" s="165" t="str">
        <f t="shared" ca="1" si="0"/>
        <v>A.1.03</v>
      </c>
      <c r="C13" s="70">
        <f t="shared" ca="1" si="1"/>
        <v>5</v>
      </c>
      <c r="D13" s="20"/>
      <c r="E13" s="71" t="str">
        <f t="shared" ca="1" si="2"/>
        <v>A.1.03</v>
      </c>
      <c r="F13" s="72" t="str">
        <f t="shared" ca="1" si="3"/>
        <v>Have you identified and categorised all main third party systems, processes and functions that support your organisation?</v>
      </c>
      <c r="G13" s="168"/>
      <c r="H13" s="169"/>
      <c r="I13" s="169"/>
      <c r="J13" s="169"/>
      <c r="K13" s="169"/>
      <c r="L13" s="169"/>
      <c r="M13" s="169"/>
      <c r="N13" s="70"/>
      <c r="O13" s="70"/>
      <c r="P13" s="70"/>
      <c r="Q13" s="70"/>
      <c r="R13" s="218"/>
      <c r="S13" s="218"/>
      <c r="T13" s="217" t="str">
        <f t="shared" ca="1" si="4"/>
        <v>A.1.03</v>
      </c>
      <c r="U13" s="218"/>
      <c r="V13" s="218"/>
      <c r="W13" s="81">
        <v>3</v>
      </c>
      <c r="X13" s="87">
        <f t="shared" ca="1" si="5"/>
        <v>3</v>
      </c>
      <c r="Y13" s="211" t="str">
        <f t="shared" si="6"/>
        <v>x 3</v>
      </c>
      <c r="AH13" s="76"/>
      <c r="AI13" s="84"/>
    </row>
    <row r="14" spans="1:35" s="77" customFormat="1" ht="30" customHeight="1" x14ac:dyDescent="0.25">
      <c r="A14" s="68">
        <v>7</v>
      </c>
      <c r="B14" s="165" t="str">
        <f t="shared" ca="1" si="0"/>
        <v>A.1.04</v>
      </c>
      <c r="C14" s="70">
        <f t="shared" ca="1" si="1"/>
        <v>5</v>
      </c>
      <c r="D14" s="20"/>
      <c r="E14" s="71" t="str">
        <f t="shared" ca="1" si="2"/>
        <v>A.1.04</v>
      </c>
      <c r="F14" s="72" t="str">
        <f t="shared" ca="1" si="3"/>
        <v>Do you maintain an underlying technical security assurance framework?</v>
      </c>
      <c r="G14" s="168"/>
      <c r="H14" s="169"/>
      <c r="I14" s="169"/>
      <c r="J14" s="169"/>
      <c r="K14" s="169"/>
      <c r="L14" s="169"/>
      <c r="M14" s="169"/>
      <c r="N14" s="70"/>
      <c r="O14" s="70"/>
      <c r="P14" s="70"/>
      <c r="Q14" s="70"/>
      <c r="R14" s="218"/>
      <c r="S14" s="218"/>
      <c r="T14" s="217" t="str">
        <f t="shared" ca="1" si="4"/>
        <v>A.1.04</v>
      </c>
      <c r="U14" s="218"/>
      <c r="V14" s="218"/>
      <c r="W14" s="81">
        <v>4</v>
      </c>
      <c r="X14" s="87">
        <f t="shared" ca="1" si="5"/>
        <v>4</v>
      </c>
      <c r="Y14" s="211" t="str">
        <f t="shared" si="6"/>
        <v>x 4</v>
      </c>
      <c r="AH14" s="76"/>
      <c r="AI14" s="84"/>
    </row>
    <row r="15" spans="1:35" s="77" customFormat="1" ht="90" x14ac:dyDescent="0.25">
      <c r="A15" s="68">
        <v>8</v>
      </c>
      <c r="B15" s="165" t="str">
        <f t="shared" ca="1" si="0"/>
        <v/>
      </c>
      <c r="C15" s="70">
        <f t="shared" ca="1" si="1"/>
        <v>3</v>
      </c>
      <c r="D15" s="20"/>
      <c r="E15" s="71" t="str">
        <f t="shared" ca="1" si="2"/>
        <v/>
      </c>
      <c r="F15" s="166" t="str">
        <f t="shared" ca="1" si="3"/>
        <v>A technical security assurance framework would typically include: multiple environments for testing; a security architecture; an ongoing security monitoring services (e.g. in a SOC); an adequate range of technical security services; a balanced selection of preventative, detective and reactive security controls; and a road map or similar to provide a short, medium and long term outlook for security posture.</v>
      </c>
      <c r="G15" s="168"/>
      <c r="H15" s="169"/>
      <c r="I15" s="169"/>
      <c r="J15" s="169"/>
      <c r="K15" s="169"/>
      <c r="L15" s="169"/>
      <c r="M15" s="169"/>
      <c r="N15" s="70"/>
      <c r="O15" s="70"/>
      <c r="P15" s="70"/>
      <c r="Q15" s="70"/>
      <c r="R15" s="218"/>
      <c r="S15" s="218"/>
      <c r="T15" s="217" t="str">
        <f t="shared" ca="1" si="4"/>
        <v/>
      </c>
      <c r="U15" s="218"/>
      <c r="V15" s="218"/>
      <c r="W15" s="80">
        <v>0</v>
      </c>
      <c r="X15" s="87">
        <f t="shared" ca="1" si="5"/>
        <v>0</v>
      </c>
      <c r="Y15" s="211" t="e">
        <f t="shared" si="6"/>
        <v>#N/A</v>
      </c>
      <c r="AH15" s="20"/>
      <c r="AI15" s="84"/>
    </row>
    <row r="16" spans="1:35" s="77" customFormat="1" ht="60" x14ac:dyDescent="0.25">
      <c r="A16" s="68">
        <v>9</v>
      </c>
      <c r="B16" s="165" t="str">
        <f t="shared" ca="1" si="0"/>
        <v>A.1.05</v>
      </c>
      <c r="C16" s="70">
        <f t="shared" ca="1" si="1"/>
        <v>5</v>
      </c>
      <c r="D16" s="20"/>
      <c r="E16" s="71" t="str">
        <f t="shared" ca="1" si="2"/>
        <v>A.1.05</v>
      </c>
      <c r="F16" s="72" t="str">
        <f t="shared" ca="1" si="3"/>
        <v>Does your technical security assurance framework include testing: incident response processes; backups, to ensure that critical information and systems can be restored within critical timescales; incident response processes; and disaster recovery / fail-over processes?</v>
      </c>
      <c r="G16" s="168"/>
      <c r="H16" s="169"/>
      <c r="I16" s="169"/>
      <c r="J16" s="169"/>
      <c r="K16" s="169"/>
      <c r="L16" s="169"/>
      <c r="M16" s="169"/>
      <c r="N16" s="70"/>
      <c r="O16" s="70"/>
      <c r="P16" s="70"/>
      <c r="Q16" s="70"/>
      <c r="R16" s="218"/>
      <c r="S16" s="218"/>
      <c r="T16" s="217" t="str">
        <f t="shared" ca="1" si="4"/>
        <v>A.1.05</v>
      </c>
      <c r="U16" s="218"/>
      <c r="V16" s="218"/>
      <c r="W16" s="81">
        <v>3</v>
      </c>
      <c r="X16" s="87">
        <f t="shared" ca="1" si="5"/>
        <v>3</v>
      </c>
      <c r="Y16" s="211" t="str">
        <f t="shared" si="6"/>
        <v>x 3</v>
      </c>
      <c r="AH16" s="76"/>
      <c r="AI16" s="84"/>
    </row>
    <row r="17" spans="1:35" s="77" customFormat="1" ht="60" x14ac:dyDescent="0.25">
      <c r="A17" s="68">
        <v>10</v>
      </c>
      <c r="B17" s="165" t="str">
        <f t="shared" ca="1" si="0"/>
        <v>A.1.06</v>
      </c>
      <c r="C17" s="70">
        <f t="shared" ca="1" si="1"/>
        <v>5</v>
      </c>
      <c r="D17" s="20"/>
      <c r="E17" s="71" t="str">
        <f t="shared" ca="1" si="2"/>
        <v>A.1.06</v>
      </c>
      <c r="F17" s="72" t="str">
        <f t="shared" ca="1" si="3"/>
        <v>Is your technical security assurance framework supported by sufficient budget, skilled resources, processes, tools and technology; backed up by adequate management support and an IT or Cyber security risk management programme?</v>
      </c>
      <c r="G17" s="168"/>
      <c r="H17" s="169"/>
      <c r="I17" s="169"/>
      <c r="J17" s="169"/>
      <c r="K17" s="169"/>
      <c r="L17" s="169"/>
      <c r="M17" s="169"/>
      <c r="N17" s="70"/>
      <c r="O17" s="70"/>
      <c r="P17" s="70"/>
      <c r="Q17" s="70"/>
      <c r="R17" s="218"/>
      <c r="S17" s="218"/>
      <c r="T17" s="217" t="str">
        <f t="shared" ca="1" si="4"/>
        <v>A.1.06</v>
      </c>
      <c r="U17" s="218"/>
      <c r="V17" s="218"/>
      <c r="W17" s="81">
        <v>5</v>
      </c>
      <c r="X17" s="87">
        <f t="shared" ca="1" si="5"/>
        <v>5</v>
      </c>
      <c r="Y17" s="211" t="str">
        <f t="shared" si="6"/>
        <v>x 5</v>
      </c>
      <c r="AH17" s="76"/>
      <c r="AI17" s="84"/>
    </row>
    <row r="18" spans="1:35" s="77" customFormat="1" ht="105" x14ac:dyDescent="0.25">
      <c r="A18" s="68">
        <v>11</v>
      </c>
      <c r="B18" s="165" t="str">
        <f t="shared" ca="1" si="0"/>
        <v/>
      </c>
      <c r="C18" s="70">
        <f t="shared" ca="1" si="1"/>
        <v>3</v>
      </c>
      <c r="D18" s="20"/>
      <c r="E18" s="71" t="str">
        <f t="shared" ca="1" si="2"/>
        <v/>
      </c>
      <c r="F18" s="166" t="str">
        <f t="shared" ca="1" si="3"/>
        <v>An IT or Cyber security risk management programme would typically include: a documented risk management architecture and framework; a risk management strategy (including risk appetite); details of relevant legal, regulatory and contractual compliance requirements; a list of all main threats, a risk register showing exposure of key assets; and a method of assessing the effectiveness of technical security arrangements.</v>
      </c>
      <c r="G18" s="168"/>
      <c r="H18" s="169"/>
      <c r="I18" s="169"/>
      <c r="J18" s="169"/>
      <c r="K18" s="169"/>
      <c r="L18" s="169"/>
      <c r="M18" s="169"/>
      <c r="N18" s="70"/>
      <c r="O18" s="70"/>
      <c r="P18" s="70"/>
      <c r="Q18" s="70"/>
      <c r="R18" s="218"/>
      <c r="S18" s="218"/>
      <c r="T18" s="217" t="str">
        <f t="shared" ca="1" si="4"/>
        <v/>
      </c>
      <c r="U18" s="218"/>
      <c r="V18" s="218"/>
      <c r="W18" s="80">
        <v>0</v>
      </c>
      <c r="X18" s="87">
        <f t="shared" ca="1" si="5"/>
        <v>0</v>
      </c>
      <c r="Y18" s="211" t="e">
        <f t="shared" si="6"/>
        <v>#N/A</v>
      </c>
      <c r="AH18" s="20"/>
      <c r="AI18" s="84"/>
    </row>
    <row r="19" spans="1:35" s="77" customFormat="1" ht="30" customHeight="1" x14ac:dyDescent="0.25">
      <c r="A19" s="68">
        <v>12</v>
      </c>
      <c r="B19" s="165" t="str">
        <f t="shared" ca="1" si="0"/>
        <v>A.2</v>
      </c>
      <c r="C19" s="70">
        <f t="shared" ca="1" si="1"/>
        <v>2</v>
      </c>
      <c r="D19" s="20"/>
      <c r="E19" s="199" t="str">
        <f t="shared" ca="1" si="2"/>
        <v>Step 2</v>
      </c>
      <c r="F19" s="202" t="str">
        <f t="shared" ca="1" si="3"/>
        <v>Establish a penetration testing governance structure</v>
      </c>
      <c r="G19" s="202"/>
      <c r="H19" s="202"/>
      <c r="I19" s="202"/>
      <c r="J19" s="202"/>
      <c r="K19" s="202"/>
      <c r="L19" s="202"/>
      <c r="M19" s="202"/>
      <c r="N19" s="202"/>
      <c r="O19" s="202"/>
      <c r="P19" s="202"/>
      <c r="Q19" s="202"/>
      <c r="R19" s="215"/>
      <c r="S19" s="216"/>
      <c r="T19" s="217" t="str">
        <f t="shared" ca="1" si="4"/>
        <v>Step 2</v>
      </c>
      <c r="U19" s="216"/>
      <c r="V19" s="216"/>
      <c r="W19" s="81">
        <v>0</v>
      </c>
      <c r="X19" s="87">
        <f t="shared" ca="1" si="5"/>
        <v>0</v>
      </c>
      <c r="Y19" s="211" t="e">
        <f t="shared" si="6"/>
        <v>#N/A</v>
      </c>
      <c r="AH19" s="76"/>
      <c r="AI19" s="84"/>
    </row>
    <row r="20" spans="1:35" s="77" customFormat="1" ht="30" customHeight="1" x14ac:dyDescent="0.25">
      <c r="A20" s="68">
        <v>13</v>
      </c>
      <c r="B20" s="165" t="str">
        <f t="shared" ca="1" si="0"/>
        <v>A.2.01</v>
      </c>
      <c r="C20" s="70">
        <f t="shared" ca="1" si="1"/>
        <v>5</v>
      </c>
      <c r="D20" s="20"/>
      <c r="E20" s="71" t="str">
        <f t="shared" ca="1" si="2"/>
        <v>A.2.01</v>
      </c>
      <c r="F20" s="72" t="str">
        <f t="shared" ca="1" si="3"/>
        <v>Have you established a suitable governance structure to oversee and coordinate a regular penetration testing programme?</v>
      </c>
      <c r="G20" s="168"/>
      <c r="H20" s="169"/>
      <c r="I20" s="169"/>
      <c r="J20" s="169"/>
      <c r="K20" s="169"/>
      <c r="L20" s="169"/>
      <c r="M20" s="169"/>
      <c r="N20" s="70"/>
      <c r="O20" s="70"/>
      <c r="P20" s="70"/>
      <c r="Q20" s="70"/>
      <c r="R20" s="218"/>
      <c r="S20" s="218"/>
      <c r="T20" s="217" t="str">
        <f t="shared" ca="1" si="4"/>
        <v>A.2.01</v>
      </c>
      <c r="U20" s="218"/>
      <c r="V20" s="218"/>
      <c r="W20" s="81">
        <v>1</v>
      </c>
      <c r="X20" s="87">
        <f t="shared" ca="1" si="5"/>
        <v>1</v>
      </c>
      <c r="Y20" s="211" t="str">
        <f t="shared" si="6"/>
        <v>x 1</v>
      </c>
      <c r="AH20" s="76"/>
      <c r="AI20" s="84"/>
    </row>
    <row r="21" spans="1:35" s="77" customFormat="1" ht="45" x14ac:dyDescent="0.25">
      <c r="A21" s="68">
        <v>14</v>
      </c>
      <c r="B21" s="165" t="str">
        <f t="shared" ca="1" si="0"/>
        <v/>
      </c>
      <c r="C21" s="70">
        <f t="shared" ca="1" si="1"/>
        <v>3</v>
      </c>
      <c r="D21" s="20"/>
      <c r="E21" s="71" t="str">
        <f t="shared" ca="1" si="2"/>
        <v/>
      </c>
      <c r="F21" s="166" t="str">
        <f t="shared" ca="1" si="3"/>
        <v>An effective governance structure for penetration testing would typically cover all main systems enterprise-wide, while focusing on the most critical, allowing for the protection of any sensitive information.</v>
      </c>
      <c r="G21" s="168"/>
      <c r="H21" s="169"/>
      <c r="I21" s="169"/>
      <c r="J21" s="169"/>
      <c r="K21" s="169"/>
      <c r="L21" s="169"/>
      <c r="M21" s="169"/>
      <c r="N21" s="70"/>
      <c r="O21" s="70"/>
      <c r="P21" s="70"/>
      <c r="Q21" s="70"/>
      <c r="R21" s="218"/>
      <c r="S21" s="218"/>
      <c r="T21" s="217" t="str">
        <f t="shared" ca="1" si="4"/>
        <v/>
      </c>
      <c r="U21" s="218"/>
      <c r="V21" s="218"/>
      <c r="W21" s="80">
        <v>0</v>
      </c>
      <c r="X21" s="87">
        <f t="shared" ca="1" si="5"/>
        <v>0</v>
      </c>
      <c r="Y21" s="211" t="e">
        <f t="shared" si="6"/>
        <v>#N/A</v>
      </c>
      <c r="AH21" s="20"/>
      <c r="AI21" s="84"/>
    </row>
    <row r="22" spans="1:35" s="77" customFormat="1" ht="30" customHeight="1" x14ac:dyDescent="0.25">
      <c r="A22" s="68">
        <v>15</v>
      </c>
      <c r="B22" s="165" t="str">
        <f t="shared" ca="1" si="0"/>
        <v>A.2.02</v>
      </c>
      <c r="C22" s="70">
        <f t="shared" ca="1" si="1"/>
        <v>5</v>
      </c>
      <c r="D22" s="20"/>
      <c r="E22" s="71" t="str">
        <f t="shared" ca="1" si="2"/>
        <v>A.2.02</v>
      </c>
      <c r="F22" s="72" t="str">
        <f t="shared" ca="1" si="3"/>
        <v>Have you established a joint management and technical team to agree the programme and scope of regular penetration testing?</v>
      </c>
      <c r="G22" s="168"/>
      <c r="H22" s="169"/>
      <c r="I22" s="169"/>
      <c r="J22" s="169"/>
      <c r="K22" s="169"/>
      <c r="L22" s="169"/>
      <c r="M22" s="169"/>
      <c r="N22" s="70"/>
      <c r="O22" s="70"/>
      <c r="P22" s="70"/>
      <c r="Q22" s="70"/>
      <c r="R22" s="218"/>
      <c r="S22" s="218"/>
      <c r="T22" s="217" t="str">
        <f t="shared" ca="1" si="4"/>
        <v>A.2.02</v>
      </c>
      <c r="U22" s="218"/>
      <c r="V22" s="218"/>
      <c r="W22" s="81">
        <v>4</v>
      </c>
      <c r="X22" s="87">
        <f t="shared" ca="1" si="5"/>
        <v>4</v>
      </c>
      <c r="Y22" s="211" t="str">
        <f t="shared" si="6"/>
        <v>x 4</v>
      </c>
      <c r="AH22" s="76"/>
      <c r="AI22" s="84"/>
    </row>
    <row r="23" spans="1:35" s="77" customFormat="1" ht="75" x14ac:dyDescent="0.25">
      <c r="A23" s="68">
        <v>16</v>
      </c>
      <c r="B23" s="165" t="str">
        <f t="shared" ca="1" si="0"/>
        <v/>
      </c>
      <c r="C23" s="70">
        <f t="shared" ca="1" si="1"/>
        <v>3</v>
      </c>
      <c r="D23" s="20"/>
      <c r="E23" s="71" t="str">
        <f t="shared" ca="1" si="2"/>
        <v/>
      </c>
      <c r="F23" s="166" t="str">
        <f t="shared" ca="1" si="3"/>
        <v>An effective management and technical team would typically have direct access to senior management to raise significant concerns, supported by the ability and authority to contribute to a wider security improvement, providing adequate control over the penetration testing programme.</v>
      </c>
      <c r="G23" s="168"/>
      <c r="H23" s="169"/>
      <c r="I23" s="169"/>
      <c r="J23" s="169"/>
      <c r="K23" s="169"/>
      <c r="L23" s="169"/>
      <c r="M23" s="169"/>
      <c r="N23" s="70"/>
      <c r="O23" s="70"/>
      <c r="P23" s="70"/>
      <c r="Q23" s="70"/>
      <c r="R23" s="218"/>
      <c r="S23" s="218"/>
      <c r="T23" s="217" t="str">
        <f t="shared" ca="1" si="4"/>
        <v/>
      </c>
      <c r="U23" s="218"/>
      <c r="V23" s="218"/>
      <c r="W23" s="80">
        <v>0</v>
      </c>
      <c r="X23" s="87">
        <f t="shared" ca="1" si="5"/>
        <v>0</v>
      </c>
      <c r="Y23" s="211" t="e">
        <f t="shared" si="6"/>
        <v>#N/A</v>
      </c>
      <c r="AH23" s="20"/>
      <c r="AI23" s="84"/>
    </row>
    <row r="24" spans="1:35" s="77" customFormat="1" ht="90" x14ac:dyDescent="0.25">
      <c r="A24" s="68">
        <v>17</v>
      </c>
      <c r="B24" s="165" t="str">
        <f t="shared" ca="1" si="0"/>
        <v>A.2.03</v>
      </c>
      <c r="C24" s="70">
        <f t="shared" ca="1" si="1"/>
        <v>5</v>
      </c>
      <c r="D24" s="20"/>
      <c r="E24" s="71" t="str">
        <f t="shared" ca="1" si="2"/>
        <v>A.2.03</v>
      </c>
      <c r="F24" s="72" t="str">
        <f t="shared" ca="1" si="3"/>
        <v>Does your penetration testing programme include an approved: set of penetration testing processes and methodologies that apply enterprise-wide, supplier selection criteria, a penetration testing assurance management framework and a range of follow up activities to ensure that remediation activities are carried out in an effective manner, reducing the risk of vulnerabilities being exploited in the future?</v>
      </c>
      <c r="G24" s="168"/>
      <c r="H24" s="169"/>
      <c r="I24" s="169"/>
      <c r="J24" s="169"/>
      <c r="K24" s="169"/>
      <c r="L24" s="169"/>
      <c r="M24" s="169"/>
      <c r="N24" s="70"/>
      <c r="O24" s="70"/>
      <c r="P24" s="70"/>
      <c r="Q24" s="70"/>
      <c r="R24" s="218"/>
      <c r="S24" s="218"/>
      <c r="T24" s="217" t="str">
        <f t="shared" ca="1" si="4"/>
        <v>A.2.03</v>
      </c>
      <c r="U24" s="218"/>
      <c r="V24" s="218"/>
      <c r="W24" s="81">
        <v>3</v>
      </c>
      <c r="X24" s="87">
        <f t="shared" ca="1" si="5"/>
        <v>3</v>
      </c>
      <c r="Y24" s="211" t="str">
        <f t="shared" si="6"/>
        <v>x 3</v>
      </c>
      <c r="AH24" s="76"/>
      <c r="AI24" s="84"/>
    </row>
    <row r="25" spans="1:35" s="77" customFormat="1" ht="60" x14ac:dyDescent="0.25">
      <c r="A25" s="68">
        <v>18</v>
      </c>
      <c r="B25" s="165" t="str">
        <f t="shared" ca="1" si="0"/>
        <v>A.2.04</v>
      </c>
      <c r="C25" s="70">
        <f t="shared" ca="1" si="1"/>
        <v>5</v>
      </c>
      <c r="D25" s="20"/>
      <c r="E25" s="71" t="str">
        <f t="shared" ca="1" si="2"/>
        <v>A.2.04</v>
      </c>
      <c r="F25" s="72" t="str">
        <f t="shared" ca="1" si="3"/>
        <v>Is your penetration testing programme reviewed and approved by appropriate business and IT management, supported by stated objectives and timelines, and integrated in to your underlying technical security assurance framework?</v>
      </c>
      <c r="G25" s="168"/>
      <c r="H25" s="169"/>
      <c r="I25" s="169"/>
      <c r="J25" s="169"/>
      <c r="K25" s="169"/>
      <c r="L25" s="169"/>
      <c r="M25" s="169"/>
      <c r="N25" s="70"/>
      <c r="O25" s="70"/>
      <c r="P25" s="70"/>
      <c r="Q25" s="70"/>
      <c r="R25" s="218"/>
      <c r="S25" s="218"/>
      <c r="T25" s="217" t="str">
        <f t="shared" ca="1" si="4"/>
        <v>A.2.04</v>
      </c>
      <c r="U25" s="218"/>
      <c r="V25" s="218"/>
      <c r="W25" s="81">
        <v>3</v>
      </c>
      <c r="X25" s="87">
        <f t="shared" ca="1" si="5"/>
        <v>3</v>
      </c>
      <c r="Y25" s="211" t="str">
        <f t="shared" si="6"/>
        <v>x 3</v>
      </c>
      <c r="AH25" s="76"/>
      <c r="AI25" s="84"/>
    </row>
    <row r="26" spans="1:35" s="77" customFormat="1" ht="45" x14ac:dyDescent="0.25">
      <c r="A26" s="68">
        <v>19</v>
      </c>
      <c r="B26" s="165" t="str">
        <f t="shared" ca="1" si="0"/>
        <v>A.2.05</v>
      </c>
      <c r="C26" s="70">
        <f t="shared" ca="1" si="1"/>
        <v>5</v>
      </c>
      <c r="D26" s="20"/>
      <c r="E26" s="71" t="str">
        <f t="shared" ca="1" si="2"/>
        <v>A.2.05</v>
      </c>
      <c r="F26" s="72" t="str">
        <f t="shared" ca="1" si="3"/>
        <v>Does your penetration testing programme align with a wider security review framework, technical security infrastructure and system development processes (particularly for Web applications)?</v>
      </c>
      <c r="G26" s="168"/>
      <c r="H26" s="169"/>
      <c r="I26" s="169"/>
      <c r="J26" s="169"/>
      <c r="K26" s="169"/>
      <c r="L26" s="169"/>
      <c r="M26" s="169"/>
      <c r="N26" s="70"/>
      <c r="O26" s="70"/>
      <c r="P26" s="70"/>
      <c r="Q26" s="70"/>
      <c r="R26" s="218"/>
      <c r="S26" s="218"/>
      <c r="T26" s="217" t="str">
        <f t="shared" ca="1" si="4"/>
        <v>A.2.05</v>
      </c>
      <c r="U26" s="218"/>
      <c r="V26" s="218"/>
      <c r="W26" s="81">
        <v>3</v>
      </c>
      <c r="X26" s="87">
        <f t="shared" ca="1" si="5"/>
        <v>3</v>
      </c>
      <c r="Y26" s="211" t="str">
        <f t="shared" si="6"/>
        <v>x 3</v>
      </c>
      <c r="AH26" s="76"/>
      <c r="AI26" s="84"/>
    </row>
    <row r="27" spans="1:35" s="77" customFormat="1" ht="75" x14ac:dyDescent="0.25">
      <c r="A27" s="68">
        <v>20</v>
      </c>
      <c r="B27" s="165" t="str">
        <f t="shared" ca="1" si="0"/>
        <v>A.2.06</v>
      </c>
      <c r="C27" s="70">
        <f t="shared" ca="1" si="1"/>
        <v>5</v>
      </c>
      <c r="D27" s="20"/>
      <c r="E27" s="71" t="str">
        <f t="shared" ca="1" si="2"/>
        <v>A.2.06</v>
      </c>
      <c r="F27" s="72" t="str">
        <f t="shared" ca="1" si="3"/>
        <v>Do you have a change management process that enables the secure introduction of or changes to: business initiatives, business processes, web applications and IT infrastructure; legal and regulatory requirements; your threat landscape, security governance approach and security controls framework?</v>
      </c>
      <c r="G27" s="168"/>
      <c r="H27" s="169"/>
      <c r="I27" s="169"/>
      <c r="J27" s="169"/>
      <c r="K27" s="169"/>
      <c r="L27" s="169"/>
      <c r="M27" s="169"/>
      <c r="N27" s="70"/>
      <c r="O27" s="70"/>
      <c r="P27" s="70"/>
      <c r="Q27" s="70"/>
      <c r="R27" s="218"/>
      <c r="S27" s="218"/>
      <c r="T27" s="217" t="str">
        <f t="shared" ca="1" si="4"/>
        <v>A.2.06</v>
      </c>
      <c r="U27" s="218"/>
      <c r="V27" s="218"/>
      <c r="W27" s="81">
        <v>4</v>
      </c>
      <c r="X27" s="87">
        <f t="shared" ca="1" si="5"/>
        <v>4</v>
      </c>
      <c r="Y27" s="211" t="str">
        <f t="shared" si="6"/>
        <v>x 4</v>
      </c>
      <c r="AH27" s="76"/>
      <c r="AI27" s="84"/>
    </row>
    <row r="28" spans="1:35" s="77" customFormat="1" ht="60" x14ac:dyDescent="0.25">
      <c r="A28" s="68">
        <v>21</v>
      </c>
      <c r="B28" s="165" t="str">
        <f t="shared" ca="1" si="0"/>
        <v>A.2.07</v>
      </c>
      <c r="C28" s="70">
        <f t="shared" ca="1" si="1"/>
        <v>5</v>
      </c>
      <c r="D28" s="20"/>
      <c r="E28" s="71" t="str">
        <f t="shared" ca="1" si="2"/>
        <v>A.2.07</v>
      </c>
      <c r="F28" s="72" t="str">
        <f t="shared" ca="1" si="3"/>
        <v>To support your penetration testing programme, do you maintain key performance indicators for the results of the penetration tests, subscribe to information sharing platforms or services and use them to feed into the penetration testing programme?</v>
      </c>
      <c r="G28" s="168"/>
      <c r="H28" s="169"/>
      <c r="I28" s="169"/>
      <c r="J28" s="169"/>
      <c r="K28" s="169"/>
      <c r="L28" s="169"/>
      <c r="M28" s="169"/>
      <c r="N28" s="70"/>
      <c r="O28" s="70"/>
      <c r="P28" s="70"/>
      <c r="Q28" s="70"/>
      <c r="R28" s="218"/>
      <c r="S28" s="218"/>
      <c r="T28" s="217" t="str">
        <f t="shared" ca="1" si="4"/>
        <v>A.2.07</v>
      </c>
      <c r="U28" s="218"/>
      <c r="V28" s="218"/>
      <c r="W28" s="81">
        <v>5</v>
      </c>
      <c r="X28" s="87">
        <f t="shared" ca="1" si="5"/>
        <v>5</v>
      </c>
      <c r="Y28" s="211" t="str">
        <f t="shared" si="6"/>
        <v>x 5</v>
      </c>
      <c r="AH28" s="76"/>
      <c r="AI28" s="84"/>
    </row>
    <row r="29" spans="1:35" s="77" customFormat="1" ht="30" customHeight="1" x14ac:dyDescent="0.25">
      <c r="A29" s="68">
        <v>22</v>
      </c>
      <c r="B29" s="165" t="str">
        <f t="shared" ca="1" si="0"/>
        <v>A.2.08</v>
      </c>
      <c r="C29" s="70">
        <f t="shared" ca="1" si="1"/>
        <v>5</v>
      </c>
      <c r="D29" s="20"/>
      <c r="E29" s="71" t="str">
        <f t="shared" ca="1" si="2"/>
        <v>A.2.08</v>
      </c>
      <c r="F29" s="72" t="str">
        <f t="shared" ca="1" si="3"/>
        <v>Are a series of actions taken to provide assurance about the suitability and effectiveness of your penetration testing programme?</v>
      </c>
      <c r="G29" s="168"/>
      <c r="H29" s="169"/>
      <c r="I29" s="169"/>
      <c r="J29" s="169"/>
      <c r="K29" s="169"/>
      <c r="L29" s="169"/>
      <c r="M29" s="169"/>
      <c r="N29" s="70"/>
      <c r="O29" s="70"/>
      <c r="P29" s="70"/>
      <c r="Q29" s="70"/>
      <c r="R29" s="218"/>
      <c r="S29" s="218"/>
      <c r="T29" s="217" t="str">
        <f t="shared" ca="1" si="4"/>
        <v>A.2.08</v>
      </c>
      <c r="U29" s="218"/>
      <c r="V29" s="218"/>
      <c r="W29" s="81">
        <v>5</v>
      </c>
      <c r="X29" s="87">
        <f t="shared" ca="1" si="5"/>
        <v>5</v>
      </c>
      <c r="Y29" s="211" t="str">
        <f t="shared" si="6"/>
        <v>x 5</v>
      </c>
      <c r="AH29" s="76"/>
      <c r="AI29" s="84"/>
    </row>
    <row r="30" spans="1:35" s="77" customFormat="1" ht="45" x14ac:dyDescent="0.25">
      <c r="A30" s="68">
        <v>23</v>
      </c>
      <c r="B30" s="165" t="str">
        <f t="shared" ca="1" si="0"/>
        <v/>
      </c>
      <c r="C30" s="70">
        <f t="shared" ca="1" si="1"/>
        <v>3</v>
      </c>
      <c r="D30" s="20"/>
      <c r="E30" s="71" t="str">
        <f t="shared" ca="1" si="2"/>
        <v/>
      </c>
      <c r="F30" s="166" t="str">
        <f t="shared" ca="1" si="3"/>
        <v>Appropriate assurance actions would typically include traceability and monitoring of the programme, a continuous improvement process, and independent audits (or similar).</v>
      </c>
      <c r="G30" s="168"/>
      <c r="H30" s="169"/>
      <c r="I30" s="169"/>
      <c r="J30" s="169"/>
      <c r="K30" s="169"/>
      <c r="L30" s="169"/>
      <c r="M30" s="169"/>
      <c r="N30" s="70"/>
      <c r="O30" s="70"/>
      <c r="P30" s="70"/>
      <c r="Q30" s="70"/>
      <c r="R30" s="218"/>
      <c r="S30" s="218"/>
      <c r="T30" s="217" t="str">
        <f t="shared" ca="1" si="4"/>
        <v/>
      </c>
      <c r="U30" s="218"/>
      <c r="V30" s="218"/>
      <c r="W30" s="80">
        <v>0</v>
      </c>
      <c r="X30" s="87">
        <f t="shared" ca="1" si="5"/>
        <v>0</v>
      </c>
      <c r="Y30" s="211" t="e">
        <f t="shared" si="6"/>
        <v>#N/A</v>
      </c>
      <c r="AH30" s="20"/>
      <c r="AI30" s="84"/>
    </row>
    <row r="31" spans="1:35" s="77" customFormat="1" ht="30" customHeight="1" x14ac:dyDescent="0.25">
      <c r="A31" s="68">
        <v>24</v>
      </c>
      <c r="B31" s="165" t="str">
        <f t="shared" ca="1" si="0"/>
        <v>A.3</v>
      </c>
      <c r="C31" s="70">
        <f t="shared" ca="1" si="1"/>
        <v>2</v>
      </c>
      <c r="D31" s="20"/>
      <c r="E31" s="199" t="str">
        <f t="shared" ca="1" si="2"/>
        <v>Step 3</v>
      </c>
      <c r="F31" s="202" t="str">
        <f t="shared" ca="1" si="3"/>
        <v>Evaluate drivers for conducting penetration tests</v>
      </c>
      <c r="G31" s="202"/>
      <c r="H31" s="202"/>
      <c r="I31" s="202"/>
      <c r="J31" s="202"/>
      <c r="K31" s="202"/>
      <c r="L31" s="202"/>
      <c r="M31" s="202"/>
      <c r="N31" s="202"/>
      <c r="O31" s="202"/>
      <c r="P31" s="202"/>
      <c r="Q31" s="202"/>
      <c r="R31" s="215"/>
      <c r="S31" s="216"/>
      <c r="T31" s="217" t="str">
        <f t="shared" ca="1" si="4"/>
        <v>Step 3</v>
      </c>
      <c r="U31" s="216"/>
      <c r="V31" s="216"/>
      <c r="W31" s="81">
        <v>0</v>
      </c>
      <c r="X31" s="87">
        <f t="shared" ca="1" si="5"/>
        <v>0</v>
      </c>
      <c r="Y31" s="211" t="e">
        <f t="shared" si="6"/>
        <v>#N/A</v>
      </c>
      <c r="AH31" s="76"/>
      <c r="AI31" s="84"/>
    </row>
    <row r="32" spans="1:35" s="77" customFormat="1" ht="30" customHeight="1" x14ac:dyDescent="0.25">
      <c r="A32" s="68">
        <v>25</v>
      </c>
      <c r="B32" s="165" t="str">
        <f t="shared" ca="1" si="0"/>
        <v>A.3.01</v>
      </c>
      <c r="C32" s="70">
        <f t="shared" ca="1" si="1"/>
        <v>5</v>
      </c>
      <c r="D32" s="20"/>
      <c r="E32" s="71" t="str">
        <f t="shared" ca="1" si="2"/>
        <v>A.3.01</v>
      </c>
      <c r="F32" s="72" t="str">
        <f t="shared" ca="1" si="3"/>
        <v>Have you identified drivers for carrying out penetration tests as part of a technical assurance programme?</v>
      </c>
      <c r="G32" s="168"/>
      <c r="H32" s="169"/>
      <c r="I32" s="169"/>
      <c r="J32" s="169"/>
      <c r="K32" s="169"/>
      <c r="L32" s="169"/>
      <c r="M32" s="169"/>
      <c r="N32" s="70"/>
      <c r="O32" s="70"/>
      <c r="P32" s="70"/>
      <c r="Q32" s="70"/>
      <c r="R32" s="218"/>
      <c r="S32" s="218"/>
      <c r="T32" s="217" t="str">
        <f t="shared" ca="1" si="4"/>
        <v>A.3.01</v>
      </c>
      <c r="U32" s="218"/>
      <c r="V32" s="218"/>
      <c r="W32" s="81">
        <v>1</v>
      </c>
      <c r="X32" s="87">
        <f t="shared" ca="1" si="5"/>
        <v>1</v>
      </c>
      <c r="Y32" s="211" t="str">
        <f t="shared" si="6"/>
        <v>x 1</v>
      </c>
      <c r="AH32" s="76"/>
      <c r="AI32" s="84"/>
    </row>
    <row r="33" spans="1:35" s="77" customFormat="1" ht="30" customHeight="1" x14ac:dyDescent="0.25">
      <c r="A33" s="68">
        <v>26</v>
      </c>
      <c r="B33" s="165" t="str">
        <f t="shared" ca="1" si="0"/>
        <v>A.3.02</v>
      </c>
      <c r="C33" s="20">
        <f t="shared" ca="1" si="1"/>
        <v>5</v>
      </c>
      <c r="D33" s="20"/>
      <c r="E33" s="71" t="str">
        <f t="shared" ca="1" si="2"/>
        <v>A.3.02</v>
      </c>
      <c r="F33" s="72" t="str">
        <f t="shared" ca="1" si="3"/>
        <v>Are your drivers for carrying out penetration tests based on an evaluation of relevant criteria?</v>
      </c>
      <c r="G33" s="168"/>
      <c r="H33" s="169"/>
      <c r="I33" s="169"/>
      <c r="J33" s="169"/>
      <c r="K33" s="169"/>
      <c r="L33" s="169"/>
      <c r="M33" s="169"/>
      <c r="N33" s="70"/>
      <c r="O33" s="70"/>
      <c r="P33" s="70"/>
      <c r="Q33" s="70"/>
      <c r="R33" s="218"/>
      <c r="S33" s="218"/>
      <c r="T33" s="217" t="str">
        <f t="shared" ca="1" si="4"/>
        <v>A.3.02</v>
      </c>
      <c r="U33" s="218"/>
      <c r="V33" s="218"/>
      <c r="W33" s="81">
        <v>3</v>
      </c>
      <c r="X33" s="87">
        <f t="shared" ca="1" si="5"/>
        <v>3</v>
      </c>
      <c r="Y33" s="211" t="str">
        <f t="shared" si="6"/>
        <v>x 3</v>
      </c>
      <c r="AI33" s="84"/>
    </row>
    <row r="34" spans="1:35" s="77" customFormat="1" ht="75" x14ac:dyDescent="0.25">
      <c r="A34" s="68">
        <v>27</v>
      </c>
      <c r="B34" s="165" t="str">
        <f t="shared" ca="1" si="0"/>
        <v/>
      </c>
      <c r="C34" s="20">
        <f t="shared" ca="1" si="1"/>
        <v>3</v>
      </c>
      <c r="D34" s="20"/>
      <c r="E34" s="71" t="str">
        <f t="shared" ca="1" si="2"/>
        <v/>
      </c>
      <c r="F34" s="166" t="str">
        <f t="shared" ca="1" si="3"/>
        <v>Criteria for determining the drivers for penetration testing should include any growing requirement for compliance, the impact of serious cyber security attacks, any outsourcing services used, the introduction of new systems and services, significant changes to IT or the business and changes in the type or level of perceived threat.</v>
      </c>
      <c r="G34" s="168"/>
      <c r="H34" s="169"/>
      <c r="I34" s="169"/>
      <c r="J34" s="169"/>
      <c r="K34" s="169"/>
      <c r="L34" s="169"/>
      <c r="M34" s="169"/>
      <c r="N34" s="70"/>
      <c r="O34" s="70"/>
      <c r="P34" s="70"/>
      <c r="Q34" s="70"/>
      <c r="R34" s="218"/>
      <c r="S34" s="218"/>
      <c r="T34" s="217" t="str">
        <f t="shared" ca="1" si="4"/>
        <v/>
      </c>
      <c r="U34" s="218"/>
      <c r="V34" s="218"/>
      <c r="W34" s="80">
        <v>0</v>
      </c>
      <c r="X34" s="87">
        <f t="shared" ca="1" si="5"/>
        <v>0</v>
      </c>
      <c r="Y34" s="211" t="e">
        <f t="shared" si="6"/>
        <v>#N/A</v>
      </c>
      <c r="AH34" s="70"/>
      <c r="AI34" s="84"/>
    </row>
    <row r="35" spans="1:35" s="77" customFormat="1" ht="60" x14ac:dyDescent="0.25">
      <c r="A35" s="68">
        <v>28</v>
      </c>
      <c r="B35" s="165" t="str">
        <f t="shared" ca="1" si="0"/>
        <v>A.3.03</v>
      </c>
      <c r="C35" s="20">
        <f t="shared" ca="1" si="1"/>
        <v>5</v>
      </c>
      <c r="D35" s="20"/>
      <c r="E35" s="71" t="str">
        <f t="shared" ca="1" si="2"/>
        <v>A.3.03</v>
      </c>
      <c r="F35" s="72" t="str">
        <f t="shared" ca="1" si="3"/>
        <v>Do your drivers for carrying out penetration tests take account of how a penetration test fits into your organisation’s overall security arrangements; the nature and direction of your business – and your risk appetite?</v>
      </c>
      <c r="G35" s="168"/>
      <c r="H35" s="169"/>
      <c r="I35" s="169"/>
      <c r="J35" s="169"/>
      <c r="K35" s="169"/>
      <c r="L35" s="169"/>
      <c r="M35" s="169"/>
      <c r="N35" s="70"/>
      <c r="O35" s="70"/>
      <c r="P35" s="70"/>
      <c r="Q35" s="70"/>
      <c r="R35" s="218"/>
      <c r="S35" s="218"/>
      <c r="T35" s="217" t="str">
        <f t="shared" ca="1" si="4"/>
        <v>A.3.03</v>
      </c>
      <c r="U35" s="218"/>
      <c r="V35" s="218"/>
      <c r="W35" s="81">
        <v>4</v>
      </c>
      <c r="X35" s="87">
        <f t="shared" ca="1" si="5"/>
        <v>4</v>
      </c>
      <c r="Y35" s="211" t="str">
        <f t="shared" si="6"/>
        <v>x 4</v>
      </c>
      <c r="AI35" s="84"/>
    </row>
    <row r="36" spans="1:35" s="77" customFormat="1" ht="45" x14ac:dyDescent="0.25">
      <c r="A36" s="68">
        <v>29</v>
      </c>
      <c r="B36" s="165" t="str">
        <f t="shared" ca="1" si="0"/>
        <v>A.3.04</v>
      </c>
      <c r="C36" s="20">
        <f t="shared" ca="1" si="1"/>
        <v>5</v>
      </c>
      <c r="D36" s="20"/>
      <c r="E36" s="71" t="str">
        <f t="shared" ca="1" si="2"/>
        <v>A.3.04</v>
      </c>
      <c r="F36" s="72" t="str">
        <f t="shared" ca="1" si="3"/>
        <v>Are your drivers for carrying out penetration tests informed by findings from risk assessments, audits or reviews; analysis of security incidents; and lessons learnt from any previous penetration tests?</v>
      </c>
      <c r="G36" s="168"/>
      <c r="H36" s="169"/>
      <c r="I36" s="169"/>
      <c r="J36" s="169"/>
      <c r="K36" s="169"/>
      <c r="L36" s="169"/>
      <c r="M36" s="169"/>
      <c r="N36" s="70"/>
      <c r="O36" s="70"/>
      <c r="P36" s="70"/>
      <c r="Q36" s="70"/>
      <c r="R36" s="218"/>
      <c r="S36" s="218"/>
      <c r="T36" s="217" t="str">
        <f t="shared" ca="1" si="4"/>
        <v>A.3.04</v>
      </c>
      <c r="U36" s="218"/>
      <c r="V36" s="218"/>
      <c r="W36" s="81">
        <v>3</v>
      </c>
      <c r="X36" s="87">
        <f t="shared" ca="1" si="5"/>
        <v>3</v>
      </c>
      <c r="Y36" s="211" t="str">
        <f t="shared" si="6"/>
        <v>x 3</v>
      </c>
      <c r="AI36" s="84"/>
    </row>
    <row r="37" spans="1:35" s="77" customFormat="1" ht="45" x14ac:dyDescent="0.25">
      <c r="A37" s="68">
        <v>30</v>
      </c>
      <c r="B37" s="165" t="str">
        <f t="shared" ca="1" si="0"/>
        <v>A.3.05</v>
      </c>
      <c r="C37" s="20">
        <f t="shared" ca="1" si="1"/>
        <v>5</v>
      </c>
      <c r="D37" s="20"/>
      <c r="E37" s="71" t="str">
        <f t="shared" ca="1" si="2"/>
        <v>A.3.05</v>
      </c>
      <c r="F37" s="72" t="str">
        <f t="shared" ca="1" si="3"/>
        <v>Have you placed your penetration tests within a wider context of security assessment and strategy to help contextualise the findings and recommendations?</v>
      </c>
      <c r="G37" s="168"/>
      <c r="H37" s="169"/>
      <c r="I37" s="169"/>
      <c r="J37" s="169"/>
      <c r="K37" s="169"/>
      <c r="L37" s="169"/>
      <c r="M37" s="169"/>
      <c r="N37" s="70"/>
      <c r="O37" s="70"/>
      <c r="P37" s="70"/>
      <c r="Q37" s="70"/>
      <c r="R37" s="218"/>
      <c r="S37" s="218"/>
      <c r="T37" s="217" t="str">
        <f t="shared" ca="1" si="4"/>
        <v>A.3.05</v>
      </c>
      <c r="U37" s="218"/>
      <c r="V37" s="218"/>
      <c r="W37" s="81">
        <v>4</v>
      </c>
      <c r="X37" s="87">
        <f t="shared" ca="1" si="5"/>
        <v>4</v>
      </c>
      <c r="Y37" s="211" t="str">
        <f t="shared" si="6"/>
        <v>x 4</v>
      </c>
      <c r="AI37" s="84"/>
    </row>
    <row r="38" spans="1:35" s="77" customFormat="1" ht="75" x14ac:dyDescent="0.25">
      <c r="A38" s="68">
        <v>31</v>
      </c>
      <c r="B38" s="165" t="str">
        <f t="shared" ca="1" si="0"/>
        <v>A.3.06</v>
      </c>
      <c r="C38" s="20">
        <f t="shared" ca="1" si="1"/>
        <v>5</v>
      </c>
      <c r="D38" s="20"/>
      <c r="E38" s="71" t="str">
        <f t="shared" ca="1" si="2"/>
        <v>A.3.06</v>
      </c>
      <c r="F38" s="72" t="str">
        <f t="shared" ca="1" si="3"/>
        <v>Do your drivers for penetration testing help to: support the adoption of a strategic view of security management; ensure that major system vulnerabilities are identified and addressed; and reduce the risk of discovering that the same problems still exits the next time a penetration test is carried out?</v>
      </c>
      <c r="G38" s="168"/>
      <c r="H38" s="169"/>
      <c r="I38" s="169"/>
      <c r="J38" s="169"/>
      <c r="K38" s="169"/>
      <c r="L38" s="169"/>
      <c r="M38" s="169"/>
      <c r="N38" s="70"/>
      <c r="O38" s="70"/>
      <c r="P38" s="70"/>
      <c r="Q38" s="70"/>
      <c r="R38" s="218"/>
      <c r="S38" s="218"/>
      <c r="T38" s="217" t="str">
        <f t="shared" ca="1" si="4"/>
        <v>A.3.06</v>
      </c>
      <c r="U38" s="218"/>
      <c r="V38" s="218"/>
      <c r="W38" s="81">
        <v>5</v>
      </c>
      <c r="X38" s="87">
        <f t="shared" ca="1" si="5"/>
        <v>5</v>
      </c>
      <c r="Y38" s="211" t="str">
        <f t="shared" si="6"/>
        <v>x 5</v>
      </c>
      <c r="AI38" s="84"/>
    </row>
    <row r="39" spans="1:35" s="77" customFormat="1" ht="30" customHeight="1" x14ac:dyDescent="0.25">
      <c r="A39" s="68">
        <v>32</v>
      </c>
      <c r="B39" s="165" t="str">
        <f t="shared" ca="1" si="0"/>
        <v>A.4</v>
      </c>
      <c r="C39" s="20">
        <f t="shared" ca="1" si="1"/>
        <v>2</v>
      </c>
      <c r="D39" s="20"/>
      <c r="E39" s="199" t="str">
        <f t="shared" ca="1" si="2"/>
        <v>Step 4</v>
      </c>
      <c r="F39" s="202" t="str">
        <f t="shared" ca="1" si="3"/>
        <v>Identify target environments</v>
      </c>
      <c r="G39" s="202"/>
      <c r="H39" s="202"/>
      <c r="I39" s="202"/>
      <c r="J39" s="202"/>
      <c r="K39" s="202"/>
      <c r="L39" s="202"/>
      <c r="M39" s="202"/>
      <c r="N39" s="202"/>
      <c r="O39" s="202"/>
      <c r="P39" s="202"/>
      <c r="Q39" s="202"/>
      <c r="R39" s="215"/>
      <c r="S39" s="216"/>
      <c r="T39" s="217" t="str">
        <f t="shared" ca="1" si="4"/>
        <v>Step 4</v>
      </c>
      <c r="U39" s="216"/>
      <c r="V39" s="216"/>
      <c r="W39" s="81">
        <v>0</v>
      </c>
      <c r="X39" s="87">
        <f t="shared" ca="1" si="5"/>
        <v>0</v>
      </c>
      <c r="Y39" s="211" t="e">
        <f t="shared" si="6"/>
        <v>#N/A</v>
      </c>
      <c r="AI39" s="84"/>
    </row>
    <row r="40" spans="1:35" s="77" customFormat="1" ht="30" customHeight="1" x14ac:dyDescent="0.25">
      <c r="A40" s="68">
        <v>33</v>
      </c>
      <c r="B40" s="165" t="str">
        <f t="shared" ref="B40:B71" ca="1" si="7">VLOOKUP(A40,Contents_Text,2,FALSE)</f>
        <v>A.4.01</v>
      </c>
      <c r="C40" s="20">
        <f t="shared" ref="C40:C71" ca="1" si="8">VLOOKUP(A40,Contents_Text,15,FALSE)</f>
        <v>5</v>
      </c>
      <c r="D40" s="20"/>
      <c r="E40" s="71" t="str">
        <f t="shared" ref="E40:E71" ca="1" si="9">IF(C40=1,"Stage "&amp;B40,IF(C40=2,"Step "&amp;VLOOKUP(A40,Contents_Text,4,FALSE),B40))</f>
        <v>A.4.01</v>
      </c>
      <c r="F40" s="72" t="str">
        <f t="shared" ref="F40:F71" ca="1" si="10">VLOOKUP(A40,Contents_Text,7,FALSE)</f>
        <v>Have you identified target environments that need to be subject to penetration testing, such as critical web applications and important IT infrastructure?</v>
      </c>
      <c r="G40" s="168"/>
      <c r="H40" s="169"/>
      <c r="I40" s="169"/>
      <c r="J40" s="169"/>
      <c r="K40" s="169"/>
      <c r="L40" s="169"/>
      <c r="M40" s="169"/>
      <c r="N40" s="70"/>
      <c r="O40" s="70"/>
      <c r="P40" s="70"/>
      <c r="Q40" s="70"/>
      <c r="R40" s="218"/>
      <c r="S40" s="218"/>
      <c r="T40" s="217" t="str">
        <f t="shared" ref="T40:T71" ca="1" si="11">E40</f>
        <v>A.4.01</v>
      </c>
      <c r="U40" s="218"/>
      <c r="V40" s="218"/>
      <c r="W40" s="81">
        <v>1</v>
      </c>
      <c r="X40" s="87">
        <f t="shared" ref="X40:X71" ca="1" si="12">VLOOKUP(A40,Contents_Text,8,FALSE)</f>
        <v>1</v>
      </c>
      <c r="Y40" s="211" t="str">
        <f t="shared" si="6"/>
        <v>x 1</v>
      </c>
      <c r="AI40" s="84"/>
    </row>
    <row r="41" spans="1:35" s="77" customFormat="1" ht="60" x14ac:dyDescent="0.25">
      <c r="A41" s="68">
        <v>34</v>
      </c>
      <c r="B41" s="165" t="str">
        <f t="shared" ca="1" si="7"/>
        <v>A.4.02</v>
      </c>
      <c r="C41" s="20">
        <f t="shared" ca="1" si="8"/>
        <v>5</v>
      </c>
      <c r="D41" s="20"/>
      <c r="E41" s="71" t="str">
        <f t="shared" ca="1" si="9"/>
        <v>A.4.02</v>
      </c>
      <c r="F41" s="72" t="str">
        <f t="shared" ca="1" si="10"/>
        <v>Does your identification of the target environment take into account business processes; web applications; key parts of IT infrastructure and specialised equipment (e.g. mobile devices and process control systems)?</v>
      </c>
      <c r="G41" s="168"/>
      <c r="H41" s="169"/>
      <c r="I41" s="169"/>
      <c r="J41" s="169"/>
      <c r="K41" s="169"/>
      <c r="L41" s="169"/>
      <c r="M41" s="169"/>
      <c r="N41" s="70"/>
      <c r="O41" s="70"/>
      <c r="P41" s="70"/>
      <c r="Q41" s="70"/>
      <c r="R41" s="218"/>
      <c r="S41" s="218"/>
      <c r="T41" s="217" t="str">
        <f t="shared" ca="1" si="11"/>
        <v>A.4.02</v>
      </c>
      <c r="U41" s="218"/>
      <c r="V41" s="218"/>
      <c r="W41" s="81">
        <v>2</v>
      </c>
      <c r="X41" s="87">
        <f t="shared" ca="1" si="12"/>
        <v>2</v>
      </c>
      <c r="Y41" s="211" t="str">
        <f t="shared" si="6"/>
        <v>x 2</v>
      </c>
      <c r="AI41" s="84"/>
    </row>
    <row r="42" spans="1:35" s="77" customFormat="1" ht="60" x14ac:dyDescent="0.25">
      <c r="A42" s="68">
        <v>35</v>
      </c>
      <c r="B42" s="165" t="str">
        <f t="shared" ca="1" si="7"/>
        <v>A.4.03</v>
      </c>
      <c r="C42" s="20">
        <f t="shared" ca="1" si="8"/>
        <v>5</v>
      </c>
      <c r="D42" s="20"/>
      <c r="E42" s="71" t="str">
        <f t="shared" ca="1" si="9"/>
        <v>A.4.03</v>
      </c>
      <c r="F42" s="72" t="str">
        <f t="shared" ca="1" si="10"/>
        <v>Does your identification of the target environment consider system criticality; compliance requirements; major business or it services; critical systems under development; and outsourced services (e.g. cloud computing)?</v>
      </c>
      <c r="G42" s="168"/>
      <c r="H42" s="169"/>
      <c r="I42" s="169"/>
      <c r="J42" s="169"/>
      <c r="K42" s="169"/>
      <c r="L42" s="169"/>
      <c r="M42" s="169"/>
      <c r="N42" s="70"/>
      <c r="O42" s="70"/>
      <c r="P42" s="70"/>
      <c r="Q42" s="70"/>
      <c r="R42" s="218"/>
      <c r="S42" s="218"/>
      <c r="T42" s="217" t="str">
        <f t="shared" ca="1" si="11"/>
        <v>A.4.03</v>
      </c>
      <c r="U42" s="218"/>
      <c r="V42" s="218"/>
      <c r="W42" s="81">
        <v>3</v>
      </c>
      <c r="X42" s="87">
        <f t="shared" ca="1" si="12"/>
        <v>3</v>
      </c>
      <c r="Y42" s="211" t="str">
        <f t="shared" si="6"/>
        <v>x 3</v>
      </c>
      <c r="AI42" s="84"/>
    </row>
    <row r="43" spans="1:35" s="77" customFormat="1" ht="60" x14ac:dyDescent="0.25">
      <c r="A43" s="68">
        <v>36</v>
      </c>
      <c r="B43" s="165" t="str">
        <f t="shared" ca="1" si="7"/>
        <v>A.4.04</v>
      </c>
      <c r="C43" s="20">
        <f t="shared" ca="1" si="8"/>
        <v>5</v>
      </c>
      <c r="D43" s="20"/>
      <c r="E43" s="71" t="str">
        <f t="shared" ca="1" si="9"/>
        <v>A.4.04</v>
      </c>
      <c r="F43" s="72" t="str">
        <f t="shared" ca="1" si="10"/>
        <v>Does your identification of the target environment include a risk assessment of your organisation’s critical information and systems – and ensure that the testing planned will focus on the assets which pose the highest risk to your organisation?</v>
      </c>
      <c r="G43" s="168"/>
      <c r="H43" s="169"/>
      <c r="I43" s="169"/>
      <c r="J43" s="169"/>
      <c r="K43" s="169"/>
      <c r="L43" s="169"/>
      <c r="M43" s="169"/>
      <c r="N43" s="70"/>
      <c r="O43" s="70"/>
      <c r="P43" s="70"/>
      <c r="Q43" s="70"/>
      <c r="R43" s="218"/>
      <c r="S43" s="218"/>
      <c r="T43" s="217" t="str">
        <f t="shared" ca="1" si="11"/>
        <v>A.4.04</v>
      </c>
      <c r="U43" s="218"/>
      <c r="V43" s="218"/>
      <c r="W43" s="81">
        <v>4</v>
      </c>
      <c r="X43" s="87">
        <f t="shared" ca="1" si="12"/>
        <v>4</v>
      </c>
      <c r="Y43" s="211" t="str">
        <f t="shared" si="6"/>
        <v>x 4</v>
      </c>
      <c r="AI43" s="84"/>
    </row>
    <row r="44" spans="1:35" s="77" customFormat="1" ht="60" x14ac:dyDescent="0.25">
      <c r="A44" s="68">
        <v>37</v>
      </c>
      <c r="B44" s="165" t="str">
        <f t="shared" ca="1" si="7"/>
        <v>A.4.05</v>
      </c>
      <c r="C44" s="20">
        <f t="shared" ca="1" si="8"/>
        <v>5</v>
      </c>
      <c r="D44" s="20"/>
      <c r="E44" s="71" t="str">
        <f t="shared" ca="1" si="9"/>
        <v>A.4.05</v>
      </c>
      <c r="F44" s="72" t="str">
        <f t="shared" ca="1" si="10"/>
        <v>Does your identification of the target environment take into account significant changes to critical business processes, business applications, IT infrastructure and business environments (e.g. in particular business units or jurisdictions)?</v>
      </c>
      <c r="G44" s="168"/>
      <c r="H44" s="169"/>
      <c r="I44" s="169"/>
      <c r="J44" s="169"/>
      <c r="K44" s="169"/>
      <c r="L44" s="169"/>
      <c r="M44" s="169"/>
      <c r="N44" s="70"/>
      <c r="O44" s="70"/>
      <c r="P44" s="70"/>
      <c r="Q44" s="70"/>
      <c r="R44" s="218"/>
      <c r="S44" s="218"/>
      <c r="T44" s="217" t="str">
        <f t="shared" ca="1" si="11"/>
        <v>A.4.05</v>
      </c>
      <c r="U44" s="218"/>
      <c r="V44" s="218"/>
      <c r="W44" s="81">
        <v>4</v>
      </c>
      <c r="X44" s="87">
        <f t="shared" ca="1" si="12"/>
        <v>4</v>
      </c>
      <c r="Y44" s="211" t="str">
        <f t="shared" si="6"/>
        <v>x 4</v>
      </c>
      <c r="AI44" s="84"/>
    </row>
    <row r="45" spans="1:35" s="77" customFormat="1" ht="30" customHeight="1" x14ac:dyDescent="0.25">
      <c r="A45" s="68">
        <v>38</v>
      </c>
      <c r="B45" s="165" t="str">
        <f t="shared" ca="1" si="7"/>
        <v>A.4.06</v>
      </c>
      <c r="C45" s="20">
        <f t="shared" ca="1" si="8"/>
        <v>5</v>
      </c>
      <c r="D45" s="20"/>
      <c r="E45" s="71" t="str">
        <f t="shared" ca="1" si="9"/>
        <v>A.4.06</v>
      </c>
      <c r="F45" s="72" t="str">
        <f t="shared" ca="1" si="10"/>
        <v>Have penetration testing requirements been built into relevant stages of systems development lifecycles (SDLC) in use by your organisation?</v>
      </c>
      <c r="G45" s="168"/>
      <c r="H45" s="169"/>
      <c r="I45" s="169"/>
      <c r="J45" s="169"/>
      <c r="K45" s="169"/>
      <c r="L45" s="169"/>
      <c r="M45" s="169"/>
      <c r="N45" s="70"/>
      <c r="O45" s="70"/>
      <c r="P45" s="70"/>
      <c r="Q45" s="70"/>
      <c r="R45" s="218"/>
      <c r="S45" s="218"/>
      <c r="T45" s="217" t="str">
        <f t="shared" ca="1" si="11"/>
        <v>A.4.06</v>
      </c>
      <c r="U45" s="218"/>
      <c r="V45" s="218"/>
      <c r="W45" s="81">
        <v>4</v>
      </c>
      <c r="X45" s="87">
        <f t="shared" ca="1" si="12"/>
        <v>4</v>
      </c>
      <c r="Y45" s="211" t="str">
        <f t="shared" si="6"/>
        <v>x 4</v>
      </c>
      <c r="AI45" s="84"/>
    </row>
    <row r="46" spans="1:35" s="77" customFormat="1" ht="30" customHeight="1" x14ac:dyDescent="0.25">
      <c r="A46" s="68">
        <v>39</v>
      </c>
      <c r="B46" s="165" t="str">
        <f t="shared" ca="1" si="7"/>
        <v/>
      </c>
      <c r="C46" s="20">
        <f t="shared" ca="1" si="8"/>
        <v>3</v>
      </c>
      <c r="D46" s="20"/>
      <c r="E46" s="71" t="str">
        <f t="shared" ca="1" si="9"/>
        <v/>
      </c>
      <c r="F46" s="166" t="str">
        <f t="shared" ca="1" si="10"/>
        <v>Consideration should be given to conducting penetration tests during the testing stage; implementation stage; and during live operation.</v>
      </c>
      <c r="G46" s="168"/>
      <c r="H46" s="169"/>
      <c r="I46" s="169"/>
      <c r="J46" s="169"/>
      <c r="K46" s="169"/>
      <c r="L46" s="169"/>
      <c r="M46" s="169"/>
      <c r="N46" s="70"/>
      <c r="O46" s="70"/>
      <c r="P46" s="70"/>
      <c r="Q46" s="70"/>
      <c r="R46" s="218"/>
      <c r="S46" s="218"/>
      <c r="T46" s="217" t="str">
        <f t="shared" ca="1" si="11"/>
        <v/>
      </c>
      <c r="U46" s="218"/>
      <c r="V46" s="218"/>
      <c r="W46" s="80">
        <v>0</v>
      </c>
      <c r="X46" s="87">
        <f t="shared" ca="1" si="12"/>
        <v>0</v>
      </c>
      <c r="Y46" s="211" t="e">
        <f t="shared" si="6"/>
        <v>#N/A</v>
      </c>
      <c r="AH46" s="70"/>
      <c r="AI46" s="84"/>
    </row>
    <row r="47" spans="1:35" s="77" customFormat="1" ht="30" customHeight="1" x14ac:dyDescent="0.25">
      <c r="A47" s="68">
        <v>40</v>
      </c>
      <c r="B47" s="165" t="str">
        <f t="shared" ca="1" si="7"/>
        <v>A.4.07</v>
      </c>
      <c r="C47" s="20">
        <f t="shared" ca="1" si="8"/>
        <v>5</v>
      </c>
      <c r="D47" s="20"/>
      <c r="E47" s="71" t="str">
        <f t="shared" ca="1" si="9"/>
        <v>A.4.07</v>
      </c>
      <c r="F47" s="72" t="str">
        <f t="shared" ca="1" si="10"/>
        <v>Have you gained permission to test important systems / environments controlled by third parties?</v>
      </c>
      <c r="G47" s="168"/>
      <c r="H47" s="169"/>
      <c r="I47" s="169"/>
      <c r="J47" s="169"/>
      <c r="K47" s="169"/>
      <c r="L47" s="169"/>
      <c r="M47" s="169"/>
      <c r="N47" s="70"/>
      <c r="O47" s="70"/>
      <c r="P47" s="70"/>
      <c r="Q47" s="70"/>
      <c r="R47" s="218"/>
      <c r="S47" s="218"/>
      <c r="T47" s="217" t="str">
        <f t="shared" ca="1" si="11"/>
        <v>A.4.07</v>
      </c>
      <c r="U47" s="218"/>
      <c r="V47" s="218"/>
      <c r="W47" s="81">
        <v>5</v>
      </c>
      <c r="X47" s="87">
        <f t="shared" ca="1" si="12"/>
        <v>5</v>
      </c>
      <c r="Y47" s="211" t="str">
        <f t="shared" si="6"/>
        <v>x 5</v>
      </c>
      <c r="AI47" s="84"/>
    </row>
    <row r="48" spans="1:35" s="77" customFormat="1" ht="75" x14ac:dyDescent="0.25">
      <c r="A48" s="68">
        <v>41</v>
      </c>
      <c r="B48" s="165" t="str">
        <f t="shared" ca="1" si="7"/>
        <v/>
      </c>
      <c r="C48" s="20">
        <f t="shared" ca="1" si="8"/>
        <v>3</v>
      </c>
      <c r="D48" s="20"/>
      <c r="E48" s="71" t="str">
        <f t="shared" ca="1" si="9"/>
        <v/>
      </c>
      <c r="F48" s="166" t="str">
        <f t="shared" ca="1" si="10"/>
        <v>If you are not permitted to test important systems / environments controlled by third parties, you should gain assurances that appropriate penetration tests are regularly carried out; tests are conducted by suitably qualified staff working for a certified organisation; and recommendations from the tests are acted upon.</v>
      </c>
      <c r="G48" s="168"/>
      <c r="H48" s="169"/>
      <c r="I48" s="169"/>
      <c r="J48" s="169"/>
      <c r="K48" s="169"/>
      <c r="L48" s="169"/>
      <c r="M48" s="169"/>
      <c r="N48" s="70"/>
      <c r="O48" s="70"/>
      <c r="P48" s="70"/>
      <c r="Q48" s="70"/>
      <c r="R48" s="218"/>
      <c r="S48" s="218"/>
      <c r="T48" s="217" t="str">
        <f t="shared" ca="1" si="11"/>
        <v/>
      </c>
      <c r="U48" s="218"/>
      <c r="V48" s="218"/>
      <c r="W48" s="80">
        <v>0</v>
      </c>
      <c r="X48" s="87">
        <f t="shared" ca="1" si="12"/>
        <v>0</v>
      </c>
      <c r="Y48" s="211" t="e">
        <f t="shared" si="6"/>
        <v>#N/A</v>
      </c>
      <c r="AH48" s="70"/>
      <c r="AI48" s="84"/>
    </row>
    <row r="49" spans="1:35" s="77" customFormat="1" ht="30" customHeight="1" x14ac:dyDescent="0.25">
      <c r="A49" s="68">
        <v>42</v>
      </c>
      <c r="B49" s="165" t="str">
        <f t="shared" ca="1" si="7"/>
        <v>A.5</v>
      </c>
      <c r="C49" s="20">
        <f t="shared" ca="1" si="8"/>
        <v>2</v>
      </c>
      <c r="D49" s="20"/>
      <c r="E49" s="199" t="str">
        <f t="shared" ca="1" si="9"/>
        <v>Step 5</v>
      </c>
      <c r="F49" s="202" t="str">
        <f t="shared" ca="1" si="10"/>
        <v>Define the purpose of the penetration tests</v>
      </c>
      <c r="G49" s="202"/>
      <c r="H49" s="202"/>
      <c r="I49" s="202"/>
      <c r="J49" s="202"/>
      <c r="K49" s="202"/>
      <c r="L49" s="202"/>
      <c r="M49" s="202"/>
      <c r="N49" s="202"/>
      <c r="O49" s="202"/>
      <c r="P49" s="202"/>
      <c r="Q49" s="202"/>
      <c r="R49" s="215"/>
      <c r="S49" s="216"/>
      <c r="T49" s="217" t="str">
        <f t="shared" ca="1" si="11"/>
        <v>Step 5</v>
      </c>
      <c r="U49" s="216"/>
      <c r="V49" s="216"/>
      <c r="W49" s="81">
        <v>0</v>
      </c>
      <c r="X49" s="87">
        <f t="shared" ca="1" si="12"/>
        <v>0</v>
      </c>
      <c r="Y49" s="211" t="e">
        <f t="shared" si="6"/>
        <v>#N/A</v>
      </c>
      <c r="AI49" s="84"/>
    </row>
    <row r="50" spans="1:35" s="77" customFormat="1" ht="30" customHeight="1" x14ac:dyDescent="0.25">
      <c r="A50" s="68">
        <v>43</v>
      </c>
      <c r="B50" s="165" t="str">
        <f t="shared" ca="1" si="7"/>
        <v>A.5.01</v>
      </c>
      <c r="C50" s="20">
        <f t="shared" ca="1" si="8"/>
        <v>5</v>
      </c>
      <c r="D50" s="20"/>
      <c r="E50" s="71" t="str">
        <f t="shared" ca="1" si="9"/>
        <v>A.5.01</v>
      </c>
      <c r="F50" s="72" t="str">
        <f t="shared" ca="1" si="10"/>
        <v>Do you define the purpose of penetration tests, and assess how these tests can help your organisation?</v>
      </c>
      <c r="G50" s="168"/>
      <c r="H50" s="169"/>
      <c r="I50" s="169"/>
      <c r="J50" s="169"/>
      <c r="K50" s="169"/>
      <c r="L50" s="169"/>
      <c r="M50" s="169"/>
      <c r="N50" s="70"/>
      <c r="O50" s="70"/>
      <c r="P50" s="70"/>
      <c r="Q50" s="70"/>
      <c r="R50" s="218"/>
      <c r="S50" s="218"/>
      <c r="T50" s="217" t="str">
        <f t="shared" ca="1" si="11"/>
        <v>A.5.01</v>
      </c>
      <c r="U50" s="218"/>
      <c r="V50" s="218"/>
      <c r="W50" s="81">
        <v>3</v>
      </c>
      <c r="X50" s="87">
        <f t="shared" ca="1" si="12"/>
        <v>3</v>
      </c>
      <c r="Y50" s="211" t="str">
        <f t="shared" si="6"/>
        <v>x 3</v>
      </c>
      <c r="AI50" s="84"/>
    </row>
    <row r="51" spans="1:35" s="77" customFormat="1" ht="105" x14ac:dyDescent="0.25">
      <c r="A51" s="68">
        <v>44</v>
      </c>
      <c r="B51" s="165" t="str">
        <f t="shared" ca="1" si="7"/>
        <v/>
      </c>
      <c r="C51" s="20">
        <f t="shared" ca="1" si="8"/>
        <v>3</v>
      </c>
      <c r="D51" s="20"/>
      <c r="E51" s="71" t="str">
        <f t="shared" ca="1" si="9"/>
        <v/>
      </c>
      <c r="F51" s="166" t="str">
        <f t="shared" ca="1" si="10"/>
        <v>A well-defined penetration tests should help your organisation to identify weaknesses in your security controls; reduce the frequency and impact of security incidents; comply with legal and regulatory requirements; provide assurance to third parties that business applications can be trusted and that customer data is adequately protected; and limit liabilities if things go wrong, or if there is a court case (i.e. take ‘reasonable’ precautions).</v>
      </c>
      <c r="G51" s="168"/>
      <c r="H51" s="169"/>
      <c r="I51" s="169"/>
      <c r="J51" s="169"/>
      <c r="K51" s="169"/>
      <c r="L51" s="169"/>
      <c r="M51" s="169"/>
      <c r="N51" s="70"/>
      <c r="O51" s="70"/>
      <c r="P51" s="70"/>
      <c r="Q51" s="70"/>
      <c r="R51" s="218"/>
      <c r="S51" s="218"/>
      <c r="T51" s="217" t="str">
        <f t="shared" ca="1" si="11"/>
        <v/>
      </c>
      <c r="U51" s="218"/>
      <c r="V51" s="218"/>
      <c r="W51" s="80">
        <v>0</v>
      </c>
      <c r="X51" s="87">
        <f t="shared" ca="1" si="12"/>
        <v>0</v>
      </c>
      <c r="Y51" s="211" t="e">
        <f t="shared" si="6"/>
        <v>#N/A</v>
      </c>
      <c r="AH51" s="70"/>
      <c r="AI51" s="84"/>
    </row>
    <row r="52" spans="1:35" s="77" customFormat="1" ht="30" customHeight="1" x14ac:dyDescent="0.25">
      <c r="A52" s="68">
        <v>45</v>
      </c>
      <c r="B52" s="165" t="str">
        <f t="shared" ca="1" si="7"/>
        <v>A.5.02</v>
      </c>
      <c r="C52" s="20">
        <f t="shared" ca="1" si="8"/>
        <v>5</v>
      </c>
      <c r="D52" s="20"/>
      <c r="E52" s="71" t="str">
        <f t="shared" ca="1" si="9"/>
        <v>A.5.02</v>
      </c>
      <c r="F52" s="72" t="str">
        <f t="shared" ca="1" si="10"/>
        <v>Do you determine what penetration testing will help you to achieve (i.e. the benefits)?</v>
      </c>
      <c r="G52" s="168"/>
      <c r="H52" s="169"/>
      <c r="I52" s="169"/>
      <c r="J52" s="169"/>
      <c r="K52" s="169"/>
      <c r="L52" s="169"/>
      <c r="M52" s="169"/>
      <c r="N52" s="70"/>
      <c r="O52" s="70"/>
      <c r="P52" s="70"/>
      <c r="Q52" s="70"/>
      <c r="R52" s="218"/>
      <c r="S52" s="218"/>
      <c r="T52" s="217" t="str">
        <f t="shared" ca="1" si="11"/>
        <v>A.5.02</v>
      </c>
      <c r="U52" s="218"/>
      <c r="V52" s="218"/>
      <c r="W52" s="81">
        <v>5</v>
      </c>
      <c r="X52" s="87">
        <f t="shared" ca="1" si="12"/>
        <v>5</v>
      </c>
      <c r="Y52" s="211" t="str">
        <f t="shared" si="6"/>
        <v>x 5</v>
      </c>
      <c r="AI52" s="84"/>
    </row>
    <row r="53" spans="1:35" s="77" customFormat="1" ht="45" x14ac:dyDescent="0.25">
      <c r="A53" s="68">
        <v>46</v>
      </c>
      <c r="B53" s="165" t="str">
        <f t="shared" ca="1" si="7"/>
        <v/>
      </c>
      <c r="C53" s="20">
        <f t="shared" ca="1" si="8"/>
        <v>3</v>
      </c>
      <c r="D53" s="20"/>
      <c r="E53" s="71" t="str">
        <f t="shared" ca="1" si="9"/>
        <v/>
      </c>
      <c r="F53" s="166" t="str">
        <f t="shared" ca="1" si="10"/>
        <v>Benefits of penetration tests can include IT cost reductions; technical and business improvements; as well as greater awareness of security risks and controls.</v>
      </c>
      <c r="G53" s="168"/>
      <c r="H53" s="169"/>
      <c r="I53" s="169"/>
      <c r="J53" s="169"/>
      <c r="K53" s="169"/>
      <c r="L53" s="169"/>
      <c r="M53" s="169"/>
      <c r="N53" s="70"/>
      <c r="O53" s="70"/>
      <c r="P53" s="70"/>
      <c r="Q53" s="70"/>
      <c r="R53" s="218"/>
      <c r="S53" s="218"/>
      <c r="T53" s="217" t="str">
        <f t="shared" ca="1" si="11"/>
        <v/>
      </c>
      <c r="U53" s="218"/>
      <c r="V53" s="218"/>
      <c r="W53" s="80">
        <v>0</v>
      </c>
      <c r="X53" s="87">
        <f t="shared" ca="1" si="12"/>
        <v>0</v>
      </c>
      <c r="Y53" s="211" t="e">
        <f t="shared" si="6"/>
        <v>#N/A</v>
      </c>
      <c r="AH53" s="70"/>
      <c r="AI53" s="84"/>
    </row>
    <row r="54" spans="1:35" s="77" customFormat="1" ht="30" customHeight="1" x14ac:dyDescent="0.25">
      <c r="A54" s="68">
        <v>47</v>
      </c>
      <c r="B54" s="165" t="str">
        <f t="shared" ca="1" si="7"/>
        <v>A.5.03</v>
      </c>
      <c r="C54" s="20">
        <f t="shared" ca="1" si="8"/>
        <v>5</v>
      </c>
      <c r="D54" s="20"/>
      <c r="E54" s="71" t="str">
        <f t="shared" ca="1" si="9"/>
        <v>A.5.03</v>
      </c>
      <c r="F54" s="72" t="str">
        <f t="shared" ca="1" si="10"/>
        <v>Do you consider the scope limitations of penetration testing?</v>
      </c>
      <c r="G54" s="168"/>
      <c r="H54" s="169"/>
      <c r="I54" s="169"/>
      <c r="J54" s="169"/>
      <c r="K54" s="169"/>
      <c r="L54" s="169"/>
      <c r="M54" s="169"/>
      <c r="N54" s="70"/>
      <c r="O54" s="70"/>
      <c r="P54" s="70"/>
      <c r="Q54" s="70"/>
      <c r="R54" s="218"/>
      <c r="S54" s="218"/>
      <c r="T54" s="217" t="str">
        <f t="shared" ca="1" si="11"/>
        <v>A.5.03</v>
      </c>
      <c r="U54" s="218"/>
      <c r="V54" s="218"/>
      <c r="W54" s="81">
        <v>3</v>
      </c>
      <c r="X54" s="87">
        <f t="shared" ca="1" si="12"/>
        <v>3</v>
      </c>
      <c r="Y54" s="211" t="str">
        <f t="shared" si="6"/>
        <v>x 3</v>
      </c>
      <c r="AI54" s="84"/>
    </row>
    <row r="55" spans="1:35" s="77" customFormat="1" ht="60" x14ac:dyDescent="0.25">
      <c r="A55" s="68">
        <v>48</v>
      </c>
      <c r="B55" s="165" t="str">
        <f t="shared" ca="1" si="7"/>
        <v/>
      </c>
      <c r="C55" s="20">
        <f t="shared" ca="1" si="8"/>
        <v>3</v>
      </c>
      <c r="D55" s="20"/>
      <c r="E55" s="71" t="str">
        <f t="shared" ca="1" si="9"/>
        <v/>
      </c>
      <c r="F55" s="166" t="str">
        <f t="shared" ca="1" si="10"/>
        <v>When evaluating the scoping limitations of penetration testing you should take into account that a test covers just the target environment that has been selected; is only a snapshot of a system at a point in time; and plays only a small part in an organisation’s defence system.</v>
      </c>
      <c r="G55" s="168"/>
      <c r="H55" s="169"/>
      <c r="I55" s="169"/>
      <c r="J55" s="169"/>
      <c r="K55" s="169"/>
      <c r="L55" s="169"/>
      <c r="M55" s="169"/>
      <c r="N55" s="70"/>
      <c r="O55" s="70"/>
      <c r="P55" s="70"/>
      <c r="Q55" s="70"/>
      <c r="R55" s="218"/>
      <c r="S55" s="218"/>
      <c r="T55" s="217" t="str">
        <f t="shared" ca="1" si="11"/>
        <v/>
      </c>
      <c r="U55" s="218"/>
      <c r="V55" s="218"/>
      <c r="W55" s="80">
        <v>0</v>
      </c>
      <c r="X55" s="87">
        <f t="shared" ca="1" si="12"/>
        <v>0</v>
      </c>
      <c r="Y55" s="211" t="e">
        <f t="shared" si="6"/>
        <v>#N/A</v>
      </c>
      <c r="AH55" s="70"/>
      <c r="AI55" s="84"/>
    </row>
    <row r="56" spans="1:35" s="77" customFormat="1" ht="30" customHeight="1" x14ac:dyDescent="0.25">
      <c r="A56" s="68">
        <v>49</v>
      </c>
      <c r="B56" s="165" t="str">
        <f t="shared" ca="1" si="7"/>
        <v>A.5.04</v>
      </c>
      <c r="C56" s="20">
        <f t="shared" ca="1" si="8"/>
        <v>5</v>
      </c>
      <c r="D56" s="20"/>
      <c r="E56" s="71" t="str">
        <f t="shared" ca="1" si="9"/>
        <v>A.5.04</v>
      </c>
      <c r="F56" s="72" t="str">
        <f t="shared" ca="1" si="10"/>
        <v>Do you consider the technical limitations of penetration testing?</v>
      </c>
      <c r="G56" s="168"/>
      <c r="H56" s="169"/>
      <c r="I56" s="169"/>
      <c r="J56" s="169"/>
      <c r="K56" s="169"/>
      <c r="L56" s="169"/>
      <c r="M56" s="169"/>
      <c r="N56" s="70"/>
      <c r="O56" s="70"/>
      <c r="P56" s="70"/>
      <c r="Q56" s="70"/>
      <c r="R56" s="218"/>
      <c r="S56" s="218"/>
      <c r="T56" s="217" t="str">
        <f t="shared" ca="1" si="11"/>
        <v>A.5.04</v>
      </c>
      <c r="U56" s="218"/>
      <c r="V56" s="218"/>
      <c r="W56" s="81">
        <v>3</v>
      </c>
      <c r="X56" s="87">
        <f t="shared" ca="1" si="12"/>
        <v>3</v>
      </c>
      <c r="Y56" s="211" t="str">
        <f t="shared" si="6"/>
        <v>x 3</v>
      </c>
      <c r="AI56" s="84"/>
    </row>
    <row r="57" spans="1:35" s="77" customFormat="1" ht="75" x14ac:dyDescent="0.25">
      <c r="A57" s="68">
        <v>50</v>
      </c>
      <c r="B57" s="165" t="str">
        <f t="shared" ca="1" si="7"/>
        <v/>
      </c>
      <c r="C57" s="20">
        <f t="shared" ca="1" si="8"/>
        <v>3</v>
      </c>
      <c r="D57" s="20"/>
      <c r="E57" s="71" t="str">
        <f t="shared" ca="1" si="9"/>
        <v/>
      </c>
      <c r="F57" s="166" t="str">
        <f t="shared" ca="1" si="10"/>
        <v>When evaluating the testing limitations of penetration testing you should take into account that a test focuses on the exposures in technical infrastructure; can be limited by legal or commercial considerations (limiting the breadth or depth of a test); and may not uncover all security weaknesses.</v>
      </c>
      <c r="G57" s="168"/>
      <c r="H57" s="169"/>
      <c r="I57" s="169"/>
      <c r="J57" s="169"/>
      <c r="K57" s="169"/>
      <c r="L57" s="169"/>
      <c r="M57" s="169"/>
      <c r="N57" s="70"/>
      <c r="O57" s="70"/>
      <c r="P57" s="70"/>
      <c r="Q57" s="70"/>
      <c r="R57" s="218"/>
      <c r="S57" s="218"/>
      <c r="T57" s="217" t="str">
        <f t="shared" ca="1" si="11"/>
        <v/>
      </c>
      <c r="U57" s="218"/>
      <c r="V57" s="218"/>
      <c r="W57" s="80">
        <v>0</v>
      </c>
      <c r="X57" s="87">
        <f t="shared" ca="1" si="12"/>
        <v>0</v>
      </c>
      <c r="Y57" s="211" t="e">
        <f t="shared" si="6"/>
        <v>#N/A</v>
      </c>
      <c r="AH57" s="70"/>
      <c r="AI57" s="84"/>
    </row>
    <row r="58" spans="1:35" s="77" customFormat="1" ht="30" customHeight="1" x14ac:dyDescent="0.25">
      <c r="A58" s="68">
        <v>51</v>
      </c>
      <c r="B58" s="165" t="str">
        <f t="shared" ca="1" si="7"/>
        <v>A.5.05</v>
      </c>
      <c r="C58" s="20">
        <f t="shared" ca="1" si="8"/>
        <v>5</v>
      </c>
      <c r="D58" s="20"/>
      <c r="E58" s="71" t="str">
        <f t="shared" ca="1" si="9"/>
        <v>A.5.05</v>
      </c>
      <c r="F58" s="72" t="str">
        <f t="shared" ca="1" si="10"/>
        <v>Do you evaluate the potential difficulties involved with scoping penetration tests?</v>
      </c>
      <c r="G58" s="168"/>
      <c r="H58" s="169"/>
      <c r="I58" s="169"/>
      <c r="J58" s="169"/>
      <c r="K58" s="169"/>
      <c r="L58" s="169"/>
      <c r="M58" s="169"/>
      <c r="N58" s="70"/>
      <c r="O58" s="70"/>
      <c r="P58" s="70"/>
      <c r="Q58" s="70"/>
      <c r="R58" s="218"/>
      <c r="S58" s="218"/>
      <c r="T58" s="217" t="str">
        <f t="shared" ca="1" si="11"/>
        <v>A.5.05</v>
      </c>
      <c r="U58" s="218"/>
      <c r="V58" s="218"/>
      <c r="W58" s="81">
        <v>3</v>
      </c>
      <c r="X58" s="87">
        <f t="shared" ca="1" si="12"/>
        <v>3</v>
      </c>
      <c r="Y58" s="211" t="str">
        <f t="shared" si="6"/>
        <v>x 3</v>
      </c>
      <c r="AI58" s="84"/>
    </row>
    <row r="59" spans="1:35" s="77" customFormat="1" ht="75" x14ac:dyDescent="0.25">
      <c r="A59" s="68">
        <v>52</v>
      </c>
      <c r="B59" s="165" t="str">
        <f t="shared" ca="1" si="7"/>
        <v/>
      </c>
      <c r="C59" s="20">
        <f t="shared" ca="1" si="8"/>
        <v>3</v>
      </c>
      <c r="D59" s="20"/>
      <c r="E59" s="71" t="str">
        <f t="shared" ca="1" si="9"/>
        <v/>
      </c>
      <c r="F59" s="166" t="str">
        <f t="shared" ca="1" si="10"/>
        <v>The potential scoping difficulties involved with carrying out penetration testing can include: determining the depth and breadth of coverage of the test; identifying the style, type, targets and frequency of tests; managing risks associated with potential system failure and exposure of sensitive data; and remediating system vulnerabilities effectively.</v>
      </c>
      <c r="G59" s="168"/>
      <c r="H59" s="169"/>
      <c r="I59" s="169"/>
      <c r="J59" s="169"/>
      <c r="K59" s="169"/>
      <c r="L59" s="169"/>
      <c r="M59" s="169"/>
      <c r="N59" s="70"/>
      <c r="O59" s="70"/>
      <c r="P59" s="70"/>
      <c r="Q59" s="70"/>
      <c r="R59" s="218"/>
      <c r="S59" s="218"/>
      <c r="T59" s="217" t="str">
        <f t="shared" ca="1" si="11"/>
        <v/>
      </c>
      <c r="U59" s="218"/>
      <c r="V59" s="218"/>
      <c r="W59" s="80">
        <v>0</v>
      </c>
      <c r="X59" s="87">
        <f t="shared" ca="1" si="12"/>
        <v>0</v>
      </c>
      <c r="Y59" s="211" t="e">
        <f t="shared" si="6"/>
        <v>#N/A</v>
      </c>
      <c r="AH59" s="70"/>
      <c r="AI59" s="84"/>
    </row>
    <row r="60" spans="1:35" s="77" customFormat="1" ht="30" customHeight="1" x14ac:dyDescent="0.25">
      <c r="A60" s="68">
        <v>53</v>
      </c>
      <c r="B60" s="165" t="str">
        <f t="shared" ca="1" si="7"/>
        <v>A.5.06</v>
      </c>
      <c r="C60" s="20">
        <f t="shared" ca="1" si="8"/>
        <v>5</v>
      </c>
      <c r="D60" s="20"/>
      <c r="E60" s="71" t="str">
        <f t="shared" ca="1" si="9"/>
        <v>A.5.06</v>
      </c>
      <c r="F60" s="72" t="str">
        <f t="shared" ca="1" si="10"/>
        <v>Do you evaluate the potential difficulties involved with resourcing penetration tests?</v>
      </c>
      <c r="G60" s="168"/>
      <c r="H60" s="169"/>
      <c r="I60" s="169"/>
      <c r="J60" s="169"/>
      <c r="K60" s="169"/>
      <c r="L60" s="169"/>
      <c r="M60" s="169"/>
      <c r="N60" s="70"/>
      <c r="O60" s="70"/>
      <c r="P60" s="70"/>
      <c r="Q60" s="70"/>
      <c r="R60" s="218"/>
      <c r="S60" s="218"/>
      <c r="T60" s="217" t="str">
        <f t="shared" ca="1" si="11"/>
        <v>A.5.06</v>
      </c>
      <c r="U60" s="218"/>
      <c r="V60" s="218"/>
      <c r="W60" s="81">
        <v>4</v>
      </c>
      <c r="X60" s="87">
        <f t="shared" ca="1" si="12"/>
        <v>4</v>
      </c>
      <c r="Y60" s="211" t="str">
        <f t="shared" si="6"/>
        <v>x 4</v>
      </c>
      <c r="AI60" s="84"/>
    </row>
    <row r="61" spans="1:35" s="77" customFormat="1" ht="60" x14ac:dyDescent="0.25">
      <c r="A61" s="68">
        <v>54</v>
      </c>
      <c r="B61" s="165" t="str">
        <f t="shared" ca="1" si="7"/>
        <v/>
      </c>
      <c r="C61" s="20">
        <f t="shared" ca="1" si="8"/>
        <v>3</v>
      </c>
      <c r="D61" s="20"/>
      <c r="E61" s="71" t="str">
        <f t="shared" ca="1" si="9"/>
        <v/>
      </c>
      <c r="F61" s="166" t="str">
        <f t="shared" ca="1" si="10"/>
        <v>The potential resourcing difficulties in carrying out penetration testing can include: understanding the costs of external services (and in determining the true overall cost of testing); and finding a suitable penetration testing expert when required (e.g. at short notice).</v>
      </c>
      <c r="G61" s="168"/>
      <c r="H61" s="169"/>
      <c r="I61" s="169"/>
      <c r="J61" s="169"/>
      <c r="K61" s="169"/>
      <c r="L61" s="169"/>
      <c r="M61" s="169"/>
      <c r="N61" s="70"/>
      <c r="O61" s="70"/>
      <c r="P61" s="70"/>
      <c r="Q61" s="70"/>
      <c r="R61" s="218"/>
      <c r="S61" s="218"/>
      <c r="T61" s="217" t="str">
        <f t="shared" ca="1" si="11"/>
        <v/>
      </c>
      <c r="U61" s="218"/>
      <c r="V61" s="218"/>
      <c r="W61" s="80">
        <v>0</v>
      </c>
      <c r="X61" s="87">
        <f t="shared" ca="1" si="12"/>
        <v>0</v>
      </c>
      <c r="Y61" s="211" t="e">
        <f t="shared" si="6"/>
        <v>#N/A</v>
      </c>
      <c r="AH61" s="70"/>
      <c r="AI61" s="84"/>
    </row>
    <row r="62" spans="1:35" s="77" customFormat="1" ht="30" customHeight="1" x14ac:dyDescent="0.25">
      <c r="A62" s="68">
        <v>55</v>
      </c>
      <c r="B62" s="165" t="str">
        <f t="shared" ca="1" si="7"/>
        <v>A.6</v>
      </c>
      <c r="C62" s="20">
        <f t="shared" ca="1" si="8"/>
        <v>2</v>
      </c>
      <c r="D62" s="20"/>
      <c r="E62" s="199" t="str">
        <f t="shared" ca="1" si="9"/>
        <v>Step 6</v>
      </c>
      <c r="F62" s="202" t="str">
        <f t="shared" ca="1" si="10"/>
        <v>Produce requirements specifications</v>
      </c>
      <c r="G62" s="202"/>
      <c r="H62" s="202"/>
      <c r="I62" s="202"/>
      <c r="J62" s="202"/>
      <c r="K62" s="202"/>
      <c r="L62" s="202"/>
      <c r="M62" s="202"/>
      <c r="N62" s="202"/>
      <c r="O62" s="202"/>
      <c r="P62" s="202"/>
      <c r="Q62" s="202"/>
      <c r="R62" s="215"/>
      <c r="S62" s="216"/>
      <c r="T62" s="217" t="str">
        <f t="shared" ca="1" si="11"/>
        <v>Step 6</v>
      </c>
      <c r="U62" s="216"/>
      <c r="V62" s="216"/>
      <c r="W62" s="81">
        <v>0</v>
      </c>
      <c r="X62" s="87">
        <f t="shared" ca="1" si="12"/>
        <v>0</v>
      </c>
      <c r="Y62" s="211" t="e">
        <f t="shared" si="6"/>
        <v>#N/A</v>
      </c>
      <c r="AI62" s="84"/>
    </row>
    <row r="63" spans="1:35" s="77" customFormat="1" ht="30" customHeight="1" x14ac:dyDescent="0.25">
      <c r="A63" s="68">
        <v>56</v>
      </c>
      <c r="B63" s="165" t="str">
        <f t="shared" ca="1" si="7"/>
        <v>A.6.01</v>
      </c>
      <c r="C63" s="20">
        <f t="shared" ca="1" si="8"/>
        <v>5</v>
      </c>
      <c r="D63" s="20"/>
      <c r="E63" s="71" t="str">
        <f t="shared" ca="1" si="9"/>
        <v>A.6.01</v>
      </c>
      <c r="F63" s="72" t="str">
        <f t="shared" ca="1" si="10"/>
        <v>Do you define formal requirements for penetration testing carried out in your organisation?</v>
      </c>
      <c r="G63" s="168"/>
      <c r="H63" s="169"/>
      <c r="I63" s="169"/>
      <c r="J63" s="169"/>
      <c r="K63" s="169"/>
      <c r="L63" s="169"/>
      <c r="M63" s="169"/>
      <c r="N63" s="70"/>
      <c r="O63" s="70"/>
      <c r="P63" s="70"/>
      <c r="Q63" s="70"/>
      <c r="R63" s="218"/>
      <c r="S63" s="218"/>
      <c r="T63" s="217" t="str">
        <f t="shared" ca="1" si="11"/>
        <v>A.6.01</v>
      </c>
      <c r="U63" s="218"/>
      <c r="V63" s="218"/>
      <c r="W63" s="81">
        <v>1</v>
      </c>
      <c r="X63" s="87">
        <f t="shared" ca="1" si="12"/>
        <v>1</v>
      </c>
      <c r="Y63" s="211" t="str">
        <f t="shared" si="6"/>
        <v>x 1</v>
      </c>
      <c r="AI63" s="84"/>
    </row>
    <row r="64" spans="1:35" s="77" customFormat="1" ht="45" x14ac:dyDescent="0.25">
      <c r="A64" s="68">
        <v>57</v>
      </c>
      <c r="B64" s="165" t="str">
        <f t="shared" ca="1" si="7"/>
        <v>A.6.02</v>
      </c>
      <c r="C64" s="20">
        <f t="shared" ca="1" si="8"/>
        <v>5</v>
      </c>
      <c r="D64" s="20"/>
      <c r="E64" s="71" t="str">
        <f t="shared" ca="1" si="9"/>
        <v>A.6.02</v>
      </c>
      <c r="F64" s="72" t="str">
        <f t="shared" ca="1" si="10"/>
        <v>Do your requirements for penetration testing include consideration of any impact on important business applications, key systems and networks (IT infrastructure) and confidential data?</v>
      </c>
      <c r="G64" s="168"/>
      <c r="H64" s="169"/>
      <c r="I64" s="169"/>
      <c r="J64" s="169"/>
      <c r="K64" s="169"/>
      <c r="L64" s="169"/>
      <c r="M64" s="169"/>
      <c r="N64" s="70"/>
      <c r="O64" s="70"/>
      <c r="P64" s="70"/>
      <c r="Q64" s="70"/>
      <c r="R64" s="218"/>
      <c r="S64" s="218"/>
      <c r="T64" s="217" t="str">
        <f t="shared" ca="1" si="11"/>
        <v>A.6.02</v>
      </c>
      <c r="U64" s="218"/>
      <c r="V64" s="218"/>
      <c r="W64" s="81">
        <v>3</v>
      </c>
      <c r="X64" s="87">
        <f t="shared" ca="1" si="12"/>
        <v>3</v>
      </c>
      <c r="Y64" s="211" t="str">
        <f t="shared" si="6"/>
        <v>x 3</v>
      </c>
      <c r="AI64" s="84"/>
    </row>
    <row r="65" spans="1:35" s="77" customFormat="1" ht="45" x14ac:dyDescent="0.25">
      <c r="A65" s="68">
        <v>58</v>
      </c>
      <c r="B65" s="165" t="str">
        <f t="shared" ca="1" si="7"/>
        <v>A.6.03</v>
      </c>
      <c r="C65" s="20">
        <f t="shared" ca="1" si="8"/>
        <v>5</v>
      </c>
      <c r="D65" s="20"/>
      <c r="E65" s="71" t="str">
        <f t="shared" ca="1" si="9"/>
        <v>A.6.03</v>
      </c>
      <c r="F65" s="72" t="str">
        <f t="shared" ca="1" si="10"/>
        <v>Do your requirements for penetration testing specify that testers must validate that the test will be legal and that it will not compromise data protection requirements?</v>
      </c>
      <c r="G65" s="168"/>
      <c r="H65" s="169"/>
      <c r="I65" s="169"/>
      <c r="J65" s="169"/>
      <c r="K65" s="169"/>
      <c r="L65" s="169"/>
      <c r="M65" s="169"/>
      <c r="N65" s="70"/>
      <c r="O65" s="70"/>
      <c r="P65" s="70"/>
      <c r="Q65" s="70"/>
      <c r="R65" s="218"/>
      <c r="S65" s="218"/>
      <c r="T65" s="217" t="str">
        <f t="shared" ca="1" si="11"/>
        <v>A.6.03</v>
      </c>
      <c r="U65" s="218"/>
      <c r="V65" s="218"/>
      <c r="W65" s="81">
        <v>4</v>
      </c>
      <c r="X65" s="87">
        <f t="shared" ca="1" si="12"/>
        <v>4</v>
      </c>
      <c r="Y65" s="211" t="str">
        <f t="shared" si="6"/>
        <v>x 4</v>
      </c>
      <c r="AI65" s="84"/>
    </row>
    <row r="66" spans="1:35" s="77" customFormat="1" ht="60" x14ac:dyDescent="0.25">
      <c r="A66" s="68">
        <v>59</v>
      </c>
      <c r="B66" s="165" t="str">
        <f t="shared" ca="1" si="7"/>
        <v>A.6.04</v>
      </c>
      <c r="C66" s="20">
        <f t="shared" ca="1" si="8"/>
        <v>5</v>
      </c>
      <c r="D66" s="20"/>
      <c r="E66" s="71" t="str">
        <f t="shared" ca="1" si="9"/>
        <v>A.6.04</v>
      </c>
      <c r="F66" s="72" t="str">
        <f t="shared" ca="1" si="10"/>
        <v>Are your requirements for a penetration test formally recorded in a requirements specification, formulated by competent technical experts, reviewed and signed-off, monitored to ensure they are met and then reviewed / revised on a regular basis?</v>
      </c>
      <c r="G66" s="168"/>
      <c r="H66" s="169"/>
      <c r="I66" s="169"/>
      <c r="J66" s="169"/>
      <c r="K66" s="169"/>
      <c r="L66" s="169"/>
      <c r="M66" s="169"/>
      <c r="N66" s="70"/>
      <c r="O66" s="70"/>
      <c r="P66" s="70"/>
      <c r="Q66" s="70"/>
      <c r="R66" s="218"/>
      <c r="S66" s="218"/>
      <c r="T66" s="217" t="str">
        <f t="shared" ca="1" si="11"/>
        <v>A.6.04</v>
      </c>
      <c r="U66" s="218"/>
      <c r="V66" s="218"/>
      <c r="W66" s="81">
        <v>5</v>
      </c>
      <c r="X66" s="87">
        <f t="shared" ca="1" si="12"/>
        <v>5</v>
      </c>
      <c r="Y66" s="211" t="str">
        <f t="shared" si="6"/>
        <v>x 5</v>
      </c>
      <c r="AI66" s="84"/>
    </row>
    <row r="67" spans="1:35" s="77" customFormat="1" ht="30" customHeight="1" x14ac:dyDescent="0.25">
      <c r="A67" s="68">
        <v>60</v>
      </c>
      <c r="B67" s="165" t="str">
        <f t="shared" ca="1" si="7"/>
        <v>A.7</v>
      </c>
      <c r="C67" s="20">
        <f t="shared" ca="1" si="8"/>
        <v>2</v>
      </c>
      <c r="D67" s="20"/>
      <c r="E67" s="199" t="str">
        <f t="shared" ca="1" si="9"/>
        <v>Step 7</v>
      </c>
      <c r="F67" s="202" t="str">
        <f t="shared" ca="1" si="10"/>
        <v>Select suitable suppliers</v>
      </c>
      <c r="G67" s="202"/>
      <c r="H67" s="202"/>
      <c r="I67" s="202"/>
      <c r="J67" s="202"/>
      <c r="K67" s="202"/>
      <c r="L67" s="202"/>
      <c r="M67" s="202"/>
      <c r="N67" s="202"/>
      <c r="O67" s="202"/>
      <c r="P67" s="202"/>
      <c r="Q67" s="202"/>
      <c r="R67" s="215"/>
      <c r="S67" s="216"/>
      <c r="T67" s="217" t="str">
        <f t="shared" ca="1" si="11"/>
        <v>Step 7</v>
      </c>
      <c r="U67" s="216"/>
      <c r="V67" s="216"/>
      <c r="W67" s="81">
        <v>0</v>
      </c>
      <c r="X67" s="87">
        <f t="shared" ca="1" si="12"/>
        <v>0</v>
      </c>
      <c r="Y67" s="211" t="e">
        <f t="shared" si="6"/>
        <v>#N/A</v>
      </c>
      <c r="AI67" s="84"/>
    </row>
    <row r="68" spans="1:35" s="77" customFormat="1" ht="30" customHeight="1" x14ac:dyDescent="0.25">
      <c r="A68" s="68">
        <v>61</v>
      </c>
      <c r="B68" s="165" t="str">
        <f t="shared" ca="1" si="7"/>
        <v>A.7.01</v>
      </c>
      <c r="C68" s="20">
        <f t="shared" ca="1" si="8"/>
        <v>5</v>
      </c>
      <c r="D68" s="20"/>
      <c r="E68" s="71" t="str">
        <f t="shared" ca="1" si="9"/>
        <v>A.7.01</v>
      </c>
      <c r="F68" s="72" t="str">
        <f t="shared" ca="1" si="10"/>
        <v>Do you appoint suitable third party suppliers to undertake independent penetration testing, based on defined requirements?</v>
      </c>
      <c r="G68" s="168"/>
      <c r="H68" s="169"/>
      <c r="I68" s="169"/>
      <c r="J68" s="169"/>
      <c r="K68" s="169"/>
      <c r="L68" s="169"/>
      <c r="M68" s="169"/>
      <c r="N68" s="70"/>
      <c r="O68" s="70"/>
      <c r="P68" s="70"/>
      <c r="Q68" s="70"/>
      <c r="R68" s="218"/>
      <c r="S68" s="218"/>
      <c r="T68" s="217" t="str">
        <f t="shared" ca="1" si="11"/>
        <v>A.7.01</v>
      </c>
      <c r="U68" s="218"/>
      <c r="V68" s="218"/>
      <c r="W68" s="81">
        <v>2</v>
      </c>
      <c r="X68" s="87">
        <f t="shared" ca="1" si="12"/>
        <v>2</v>
      </c>
      <c r="Y68" s="211" t="str">
        <f t="shared" si="6"/>
        <v>x 2</v>
      </c>
      <c r="AI68" s="84"/>
    </row>
    <row r="69" spans="1:35" s="77" customFormat="1" ht="60" x14ac:dyDescent="0.25">
      <c r="A69" s="68">
        <v>62</v>
      </c>
      <c r="B69" s="165" t="str">
        <f t="shared" ca="1" si="7"/>
        <v/>
      </c>
      <c r="C69" s="20">
        <f t="shared" ca="1" si="8"/>
        <v>3</v>
      </c>
      <c r="D69" s="20"/>
      <c r="E69" s="71" t="str">
        <f t="shared" ca="1" si="9"/>
        <v/>
      </c>
      <c r="F69" s="166" t="str">
        <f t="shared" ca="1" si="10"/>
        <v>Effective requirements for penetration testing suppliers are typically based on a cost / benefit analysis, driven by clear objectives, recorded in a requirements specification and integrated into an organisation’s procurement process.</v>
      </c>
      <c r="G69" s="168"/>
      <c r="H69" s="169"/>
      <c r="I69" s="169"/>
      <c r="J69" s="169"/>
      <c r="K69" s="169"/>
      <c r="L69" s="169"/>
      <c r="M69" s="169"/>
      <c r="N69" s="70"/>
      <c r="O69" s="70"/>
      <c r="P69" s="70"/>
      <c r="Q69" s="70"/>
      <c r="R69" s="218"/>
      <c r="S69" s="218"/>
      <c r="T69" s="217" t="str">
        <f t="shared" ca="1" si="11"/>
        <v/>
      </c>
      <c r="U69" s="218"/>
      <c r="V69" s="218"/>
      <c r="W69" s="80">
        <v>0</v>
      </c>
      <c r="X69" s="87">
        <f t="shared" ca="1" si="12"/>
        <v>0</v>
      </c>
      <c r="Y69" s="211" t="e">
        <f t="shared" si="6"/>
        <v>#N/A</v>
      </c>
      <c r="AH69" s="70"/>
      <c r="AI69" s="84"/>
    </row>
    <row r="70" spans="1:35" s="77" customFormat="1" ht="30" customHeight="1" x14ac:dyDescent="0.25">
      <c r="A70" s="68">
        <v>63</v>
      </c>
      <c r="B70" s="165" t="str">
        <f t="shared" ca="1" si="7"/>
        <v>A.7.02</v>
      </c>
      <c r="C70" s="20">
        <f t="shared" ca="1" si="8"/>
        <v>5</v>
      </c>
      <c r="D70" s="20"/>
      <c r="E70" s="71" t="str">
        <f t="shared" ca="1" si="9"/>
        <v>A.7.02</v>
      </c>
      <c r="F70" s="72" t="str">
        <f t="shared" ca="1" si="10"/>
        <v>Do you evaluate the benefits of using external suppliers?</v>
      </c>
      <c r="G70" s="168"/>
      <c r="H70" s="169"/>
      <c r="I70" s="169"/>
      <c r="J70" s="169"/>
      <c r="K70" s="169"/>
      <c r="L70" s="169"/>
      <c r="M70" s="169"/>
      <c r="N70" s="70"/>
      <c r="O70" s="70"/>
      <c r="P70" s="70"/>
      <c r="Q70" s="70"/>
      <c r="R70" s="218"/>
      <c r="S70" s="218"/>
      <c r="T70" s="217" t="str">
        <f t="shared" ca="1" si="11"/>
        <v>A.7.02</v>
      </c>
      <c r="U70" s="218"/>
      <c r="V70" s="218"/>
      <c r="W70" s="81">
        <v>3</v>
      </c>
      <c r="X70" s="87">
        <f t="shared" ca="1" si="12"/>
        <v>3</v>
      </c>
      <c r="Y70" s="211" t="str">
        <f t="shared" si="6"/>
        <v>x 3</v>
      </c>
      <c r="AI70" s="84"/>
    </row>
    <row r="71" spans="1:35" s="77" customFormat="1" ht="105" x14ac:dyDescent="0.25">
      <c r="A71" s="68">
        <v>64</v>
      </c>
      <c r="B71" s="165" t="str">
        <f t="shared" ca="1" si="7"/>
        <v/>
      </c>
      <c r="C71" s="20">
        <f t="shared" ca="1" si="8"/>
        <v>3</v>
      </c>
      <c r="D71" s="20"/>
      <c r="E71" s="71" t="str">
        <f t="shared" ca="1" si="9"/>
        <v/>
      </c>
      <c r="F71" s="166" t="str">
        <f t="shared" ca="1" si="10"/>
        <v>When evaluating the benefits of using external suppliers, you should consider their ability to help you: deploy a structured process and plan, developed by experts; increase the scope and frequency of tests; conduct short term engagements, eliminating the need to employ your own specialised (and often expensive) staff; and take advantage of automation (e.g. by using penetration testing workflows and importing vulnerability management reports).</v>
      </c>
      <c r="G71" s="168"/>
      <c r="H71" s="169"/>
      <c r="I71" s="169"/>
      <c r="J71" s="169"/>
      <c r="K71" s="169"/>
      <c r="L71" s="169"/>
      <c r="M71" s="169"/>
      <c r="N71" s="70"/>
      <c r="O71" s="70"/>
      <c r="P71" s="70"/>
      <c r="Q71" s="70"/>
      <c r="R71" s="218"/>
      <c r="S71" s="218"/>
      <c r="T71" s="217" t="str">
        <f t="shared" ca="1" si="11"/>
        <v/>
      </c>
      <c r="U71" s="218"/>
      <c r="V71" s="218"/>
      <c r="W71" s="80">
        <v>0</v>
      </c>
      <c r="X71" s="87">
        <f t="shared" ca="1" si="12"/>
        <v>0</v>
      </c>
      <c r="Y71" s="211" t="e">
        <f t="shared" si="6"/>
        <v>#N/A</v>
      </c>
      <c r="AH71" s="70"/>
      <c r="AI71" s="84"/>
    </row>
    <row r="72" spans="1:35" s="77" customFormat="1" ht="30" customHeight="1" x14ac:dyDescent="0.25">
      <c r="A72" s="68">
        <v>65</v>
      </c>
      <c r="B72" s="165" t="str">
        <f t="shared" ref="B72:B103" ca="1" si="13">VLOOKUP(A72,Contents_Text,2,FALSE)</f>
        <v>A.7.03</v>
      </c>
      <c r="C72" s="20">
        <f t="shared" ref="C72:C103" ca="1" si="14">VLOOKUP(A72,Contents_Text,15,FALSE)</f>
        <v>5</v>
      </c>
      <c r="D72" s="20"/>
      <c r="E72" s="71" t="str">
        <f t="shared" ref="E72:E103" ca="1" si="15">IF(C72=1,"Stage "&amp;B72,IF(C72=2,"Step "&amp;VLOOKUP(A72,Contents_Text,4,FALSE),B72))</f>
        <v>A.7.03</v>
      </c>
      <c r="F72" s="72" t="str">
        <f t="shared" ref="F72:F103" ca="1" si="16">VLOOKUP(A72,Contents_Text,7,FALSE)</f>
        <v>Do you define selection criteria to help you choose suitable suppliers?</v>
      </c>
      <c r="G72" s="168"/>
      <c r="H72" s="169"/>
      <c r="I72" s="169"/>
      <c r="J72" s="169"/>
      <c r="K72" s="169"/>
      <c r="L72" s="169"/>
      <c r="M72" s="169"/>
      <c r="N72" s="70"/>
      <c r="O72" s="70"/>
      <c r="P72" s="70"/>
      <c r="Q72" s="70"/>
      <c r="R72" s="218"/>
      <c r="S72" s="218"/>
      <c r="T72" s="217" t="str">
        <f t="shared" ref="T72:T103" ca="1" si="17">E72</f>
        <v>A.7.03</v>
      </c>
      <c r="U72" s="218"/>
      <c r="V72" s="218"/>
      <c r="W72" s="81">
        <v>4</v>
      </c>
      <c r="X72" s="87">
        <f t="shared" ref="X72:X103" ca="1" si="18">VLOOKUP(A72,Contents_Text,8,FALSE)</f>
        <v>4</v>
      </c>
      <c r="Y72" s="211" t="str">
        <f t="shared" ref="Y72:Y135" si="19">VLOOKUP(W72,weighting_response_reverse,2,FALSE)</f>
        <v>x 4</v>
      </c>
      <c r="AI72" s="84"/>
    </row>
    <row r="73" spans="1:35" s="77" customFormat="1" ht="135" x14ac:dyDescent="0.25">
      <c r="A73" s="68">
        <v>66</v>
      </c>
      <c r="B73" s="165" t="str">
        <f t="shared" ca="1" si="13"/>
        <v/>
      </c>
      <c r="C73" s="20">
        <f t="shared" ca="1" si="14"/>
        <v>3</v>
      </c>
      <c r="D73" s="20"/>
      <c r="E73" s="71" t="str">
        <f t="shared" ca="1" si="15"/>
        <v/>
      </c>
      <c r="F73" s="166" t="str">
        <f t="shared" ca="1" si="16"/>
        <v>Effective supplier selection criteria typically specify that potential suppliers should be able to: provide a reliable, effective and proven penetration testing service; meet compliance standards; protect your information and systems both during and after testing; perform rigorous and effective penetration tests; adhere to a proven testing methodology; carry out a full range of testing, discover all major vulnerabilities, identifying associated ‘root causes’; produce insightful, practical and easy to read reports; provide on-going advice on how to manage systems effectively over time as part of a trusted relationship.</v>
      </c>
      <c r="G73" s="168"/>
      <c r="H73" s="169"/>
      <c r="I73" s="169"/>
      <c r="J73" s="169"/>
      <c r="K73" s="169"/>
      <c r="L73" s="169"/>
      <c r="M73" s="169"/>
      <c r="N73" s="70"/>
      <c r="O73" s="70"/>
      <c r="P73" s="70"/>
      <c r="Q73" s="70"/>
      <c r="R73" s="218"/>
      <c r="S73" s="218"/>
      <c r="T73" s="217" t="str">
        <f t="shared" ca="1" si="17"/>
        <v/>
      </c>
      <c r="U73" s="218"/>
      <c r="V73" s="218"/>
      <c r="W73" s="80">
        <v>0</v>
      </c>
      <c r="X73" s="87">
        <f t="shared" ca="1" si="18"/>
        <v>0</v>
      </c>
      <c r="Y73" s="211" t="e">
        <f t="shared" si="19"/>
        <v>#N/A</v>
      </c>
      <c r="AH73" s="70"/>
      <c r="AI73" s="84"/>
    </row>
    <row r="74" spans="1:35" s="77" customFormat="1" ht="75" x14ac:dyDescent="0.25">
      <c r="A74" s="68">
        <v>67</v>
      </c>
      <c r="B74" s="165" t="str">
        <f t="shared" ca="1" si="13"/>
        <v>A.7.04</v>
      </c>
      <c r="C74" s="20">
        <f t="shared" ca="1" si="14"/>
        <v>5</v>
      </c>
      <c r="D74" s="20"/>
      <c r="E74" s="71" t="str">
        <f t="shared" ca="1" si="15"/>
        <v>A.7.04</v>
      </c>
      <c r="F74" s="72" t="str">
        <f t="shared" ca="1" si="16"/>
        <v>Does your selection criteria consider if potential suppliers can provide: solid reputation, history and ethics; high quality, value-for-money services; research and development capability; highly competent, technical testers; and security and risk management, supported by a strong professional accreditation and complaint process?</v>
      </c>
      <c r="G74" s="168"/>
      <c r="H74" s="169"/>
      <c r="I74" s="169"/>
      <c r="J74" s="169"/>
      <c r="K74" s="169"/>
      <c r="L74" s="169"/>
      <c r="M74" s="169"/>
      <c r="N74" s="70"/>
      <c r="O74" s="70"/>
      <c r="P74" s="70"/>
      <c r="Q74" s="70"/>
      <c r="R74" s="218"/>
      <c r="S74" s="218"/>
      <c r="T74" s="217" t="str">
        <f t="shared" ca="1" si="17"/>
        <v>A.7.04</v>
      </c>
      <c r="U74" s="218"/>
      <c r="V74" s="218"/>
      <c r="W74" s="81">
        <v>5</v>
      </c>
      <c r="X74" s="87">
        <f t="shared" ca="1" si="18"/>
        <v>5</v>
      </c>
      <c r="Y74" s="211" t="str">
        <f t="shared" si="19"/>
        <v>x 5</v>
      </c>
      <c r="AI74" s="84"/>
    </row>
    <row r="75" spans="1:35" s="77" customFormat="1" ht="30" customHeight="1" x14ac:dyDescent="0.25">
      <c r="A75" s="68">
        <v>68</v>
      </c>
      <c r="B75" s="165" t="str">
        <f t="shared" ca="1" si="13"/>
        <v>A.7.05</v>
      </c>
      <c r="C75" s="20">
        <f t="shared" ca="1" si="14"/>
        <v>5</v>
      </c>
      <c r="D75" s="20"/>
      <c r="E75" s="71" t="str">
        <f t="shared" ca="1" si="15"/>
        <v>A.7.05</v>
      </c>
      <c r="F75" s="72" t="str">
        <f t="shared" ca="1" si="16"/>
        <v>Do you ensure that your chosen suppliers are able to effectively meet – or exceed - your supplier selection criteria and provide tangible value for money?</v>
      </c>
      <c r="G75" s="168"/>
      <c r="H75" s="169"/>
      <c r="I75" s="169"/>
      <c r="J75" s="169"/>
      <c r="K75" s="169"/>
      <c r="L75" s="169"/>
      <c r="M75" s="169"/>
      <c r="N75" s="70"/>
      <c r="O75" s="70"/>
      <c r="P75" s="70"/>
      <c r="Q75" s="70"/>
      <c r="R75" s="218"/>
      <c r="S75" s="218"/>
      <c r="T75" s="217" t="str">
        <f t="shared" ca="1" si="17"/>
        <v>A.7.05</v>
      </c>
      <c r="U75" s="218"/>
      <c r="V75" s="218"/>
      <c r="W75" s="81">
        <v>3</v>
      </c>
      <c r="X75" s="87">
        <f t="shared" ca="1" si="18"/>
        <v>3</v>
      </c>
      <c r="Y75" s="211" t="str">
        <f t="shared" si="19"/>
        <v>x 3</v>
      </c>
      <c r="AI75" s="84"/>
    </row>
    <row r="76" spans="1:35" s="77" customFormat="1" ht="45" x14ac:dyDescent="0.25">
      <c r="A76" s="68">
        <v>69</v>
      </c>
      <c r="B76" s="165" t="str">
        <f t="shared" ca="1" si="13"/>
        <v>A.7.06</v>
      </c>
      <c r="C76" s="20">
        <f t="shared" ca="1" si="14"/>
        <v>5</v>
      </c>
      <c r="D76" s="20"/>
      <c r="E76" s="71" t="str">
        <f t="shared" ca="1" si="15"/>
        <v>A.7.06</v>
      </c>
      <c r="F76" s="72" t="str">
        <f t="shared" ca="1" si="16"/>
        <v>Do you validate the ability of potential suppliers to meet your specific requirements (not just one who can offer a variety of often impressive products and services, some of which may not necessarily be relevant)?</v>
      </c>
      <c r="G76" s="168"/>
      <c r="H76" s="169"/>
      <c r="I76" s="169"/>
      <c r="J76" s="169"/>
      <c r="K76" s="169"/>
      <c r="L76" s="169"/>
      <c r="M76" s="169"/>
      <c r="N76" s="70"/>
      <c r="O76" s="70"/>
      <c r="P76" s="70"/>
      <c r="Q76" s="70"/>
      <c r="R76" s="218"/>
      <c r="S76" s="218"/>
      <c r="T76" s="217" t="str">
        <f t="shared" ca="1" si="17"/>
        <v>A.7.06</v>
      </c>
      <c r="U76" s="218"/>
      <c r="V76" s="218"/>
      <c r="W76" s="81">
        <v>4</v>
      </c>
      <c r="X76" s="87">
        <f t="shared" ca="1" si="18"/>
        <v>4</v>
      </c>
      <c r="Y76" s="211" t="str">
        <f t="shared" si="19"/>
        <v>x 4</v>
      </c>
      <c r="AI76" s="84"/>
    </row>
    <row r="77" spans="1:35" s="77" customFormat="1" ht="30" customHeight="1" x14ac:dyDescent="0.25">
      <c r="A77" s="68">
        <v>70</v>
      </c>
      <c r="B77" s="165" t="str">
        <f t="shared" ca="1" si="13"/>
        <v>A.7.07</v>
      </c>
      <c r="C77" s="20">
        <f t="shared" ca="1" si="14"/>
        <v>5</v>
      </c>
      <c r="D77" s="20"/>
      <c r="E77" s="71" t="str">
        <f t="shared" ca="1" si="15"/>
        <v>A.7.07</v>
      </c>
      <c r="F77" s="72" t="str">
        <f t="shared" ca="1" si="16"/>
        <v>Do you go through a formal, approved appointment process for selected penetration testing suppliers?</v>
      </c>
      <c r="G77" s="168"/>
      <c r="H77" s="169"/>
      <c r="I77" s="169"/>
      <c r="J77" s="169"/>
      <c r="K77" s="169"/>
      <c r="L77" s="169"/>
      <c r="M77" s="169"/>
      <c r="N77" s="70"/>
      <c r="O77" s="70"/>
      <c r="P77" s="70"/>
      <c r="Q77" s="70"/>
      <c r="R77" s="218"/>
      <c r="S77" s="218"/>
      <c r="T77" s="217" t="str">
        <f t="shared" ca="1" si="17"/>
        <v>A.7.07</v>
      </c>
      <c r="U77" s="218"/>
      <c r="V77" s="218"/>
      <c r="W77" s="81">
        <v>3</v>
      </c>
      <c r="X77" s="87">
        <f t="shared" ca="1" si="18"/>
        <v>3</v>
      </c>
      <c r="Y77" s="211" t="str">
        <f t="shared" si="19"/>
        <v>x 3</v>
      </c>
      <c r="AI77" s="84"/>
    </row>
    <row r="78" spans="1:35" s="77" customFormat="1" ht="34.9" customHeight="1" x14ac:dyDescent="0.25">
      <c r="A78" s="68">
        <v>71</v>
      </c>
      <c r="B78" s="165" t="str">
        <f t="shared" ca="1" si="13"/>
        <v>B</v>
      </c>
      <c r="C78" s="20">
        <f t="shared" ca="1" si="14"/>
        <v>1</v>
      </c>
      <c r="D78" s="20"/>
      <c r="E78" s="200" t="str">
        <f t="shared" ca="1" si="15"/>
        <v>Stage B</v>
      </c>
      <c r="F78" s="203" t="str">
        <f t="shared" ca="1" si="16"/>
        <v>Testing</v>
      </c>
      <c r="G78" s="205"/>
      <c r="H78" s="207"/>
      <c r="I78" s="207"/>
      <c r="J78" s="207"/>
      <c r="K78" s="207"/>
      <c r="L78" s="207"/>
      <c r="M78" s="205"/>
      <c r="N78" s="205"/>
      <c r="O78" s="205"/>
      <c r="P78" s="205"/>
      <c r="Q78" s="205"/>
      <c r="R78" s="219"/>
      <c r="S78" s="219"/>
      <c r="T78" s="217" t="str">
        <f t="shared" ca="1" si="17"/>
        <v>Stage B</v>
      </c>
      <c r="U78" s="219"/>
      <c r="V78" s="219"/>
      <c r="W78" s="81">
        <v>0</v>
      </c>
      <c r="X78" s="87">
        <f t="shared" ca="1" si="18"/>
        <v>0</v>
      </c>
      <c r="Y78" s="211" t="e">
        <f t="shared" si="19"/>
        <v>#N/A</v>
      </c>
      <c r="AI78" s="84"/>
    </row>
    <row r="79" spans="1:35" s="77" customFormat="1" ht="30" customHeight="1" x14ac:dyDescent="0.25">
      <c r="A79" s="68">
        <v>72</v>
      </c>
      <c r="B79" s="165" t="str">
        <f t="shared" ca="1" si="13"/>
        <v>B.1</v>
      </c>
      <c r="C79" s="20">
        <f t="shared" ca="1" si="14"/>
        <v>2</v>
      </c>
      <c r="D79" s="20"/>
      <c r="E79" s="199" t="str">
        <f t="shared" ca="1" si="15"/>
        <v>Step 1</v>
      </c>
      <c r="F79" s="202" t="str">
        <f t="shared" ca="1" si="16"/>
        <v>Agree testing style and type</v>
      </c>
      <c r="G79" s="202"/>
      <c r="H79" s="202"/>
      <c r="I79" s="202"/>
      <c r="J79" s="202"/>
      <c r="K79" s="202"/>
      <c r="L79" s="202"/>
      <c r="M79" s="202"/>
      <c r="N79" s="202"/>
      <c r="O79" s="202"/>
      <c r="P79" s="202"/>
      <c r="Q79" s="202"/>
      <c r="R79" s="215"/>
      <c r="S79" s="216"/>
      <c r="T79" s="217" t="str">
        <f t="shared" ca="1" si="17"/>
        <v>Step 1</v>
      </c>
      <c r="U79" s="216"/>
      <c r="V79" s="216"/>
      <c r="W79" s="81">
        <v>0</v>
      </c>
      <c r="X79" s="87">
        <f t="shared" ca="1" si="18"/>
        <v>0</v>
      </c>
      <c r="Y79" s="211" t="e">
        <f t="shared" si="19"/>
        <v>#N/A</v>
      </c>
      <c r="AI79" s="84"/>
    </row>
    <row r="80" spans="1:35" s="77" customFormat="1" ht="30" customHeight="1" x14ac:dyDescent="0.25">
      <c r="A80" s="68">
        <v>73</v>
      </c>
      <c r="B80" s="165" t="str">
        <f t="shared" ca="1" si="13"/>
        <v>B.1.01</v>
      </c>
      <c r="C80" s="20">
        <f t="shared" ca="1" si="14"/>
        <v>5</v>
      </c>
      <c r="D80" s="20"/>
      <c r="E80" s="71" t="str">
        <f t="shared" ca="1" si="15"/>
        <v>B.1.01</v>
      </c>
      <c r="F80" s="72" t="str">
        <f t="shared" ca="1" si="16"/>
        <v>Do you identify what style of penetration testing is required?</v>
      </c>
      <c r="G80" s="168"/>
      <c r="H80" s="169"/>
      <c r="I80" s="169"/>
      <c r="J80" s="169"/>
      <c r="K80" s="169"/>
      <c r="L80" s="169"/>
      <c r="M80" s="169"/>
      <c r="N80" s="70"/>
      <c r="O80" s="70"/>
      <c r="P80" s="70"/>
      <c r="Q80" s="70"/>
      <c r="R80" s="218"/>
      <c r="S80" s="218"/>
      <c r="T80" s="217" t="str">
        <f t="shared" ca="1" si="17"/>
        <v>B.1.01</v>
      </c>
      <c r="U80" s="218"/>
      <c r="V80" s="218"/>
      <c r="W80" s="81">
        <v>1</v>
      </c>
      <c r="X80" s="87">
        <f t="shared" ca="1" si="18"/>
        <v>1</v>
      </c>
      <c r="Y80" s="211" t="str">
        <f t="shared" si="19"/>
        <v>x 1</v>
      </c>
      <c r="AI80" s="84"/>
    </row>
    <row r="81" spans="1:35" s="77" customFormat="1" ht="30" customHeight="1" x14ac:dyDescent="0.25">
      <c r="A81" s="68">
        <v>74</v>
      </c>
      <c r="B81" s="165" t="str">
        <f t="shared" ca="1" si="13"/>
        <v>B.1.02</v>
      </c>
      <c r="C81" s="20">
        <f t="shared" ca="1" si="14"/>
        <v>5</v>
      </c>
      <c r="D81" s="20"/>
      <c r="E81" s="71" t="str">
        <f t="shared" ca="1" si="15"/>
        <v>B.1.02</v>
      </c>
      <c r="F81" s="72" t="str">
        <f t="shared" ca="1" si="16"/>
        <v>Does your identification of testing style evaluate the need for ‘Black box’, ‘Grey box’ and / or ‘White box’ testing?</v>
      </c>
      <c r="G81" s="168"/>
      <c r="H81" s="169"/>
      <c r="I81" s="169"/>
      <c r="J81" s="169"/>
      <c r="K81" s="169"/>
      <c r="L81" s="169"/>
      <c r="M81" s="169"/>
      <c r="N81" s="70"/>
      <c r="O81" s="70"/>
      <c r="P81" s="70"/>
      <c r="Q81" s="70"/>
      <c r="R81" s="218"/>
      <c r="S81" s="218"/>
      <c r="T81" s="217" t="str">
        <f t="shared" ca="1" si="17"/>
        <v>B.1.02</v>
      </c>
      <c r="U81" s="218"/>
      <c r="V81" s="218"/>
      <c r="W81" s="81">
        <v>2</v>
      </c>
      <c r="X81" s="87">
        <f t="shared" ca="1" si="18"/>
        <v>2</v>
      </c>
      <c r="Y81" s="211" t="str">
        <f t="shared" si="19"/>
        <v>x 2</v>
      </c>
      <c r="AI81" s="84"/>
    </row>
    <row r="82" spans="1:35" s="77" customFormat="1" ht="45" x14ac:dyDescent="0.25">
      <c r="A82" s="68">
        <v>75</v>
      </c>
      <c r="B82" s="165" t="str">
        <f t="shared" ca="1" si="13"/>
        <v>B.1.03</v>
      </c>
      <c r="C82" s="20">
        <f t="shared" ca="1" si="14"/>
        <v>5</v>
      </c>
      <c r="D82" s="20"/>
      <c r="E82" s="71" t="str">
        <f t="shared" ca="1" si="15"/>
        <v>B.1.03</v>
      </c>
      <c r="F82" s="72" t="str">
        <f t="shared" ca="1" si="16"/>
        <v>Does your identification of testing style consider the use of an ‘external’ penetration test (the most common type of test), which is aimed at IT systems from ‘outside the building’?</v>
      </c>
      <c r="G82" s="168"/>
      <c r="H82" s="169"/>
      <c r="I82" s="169"/>
      <c r="J82" s="169"/>
      <c r="K82" s="169"/>
      <c r="L82" s="169"/>
      <c r="M82" s="169"/>
      <c r="N82" s="70"/>
      <c r="O82" s="70"/>
      <c r="P82" s="70"/>
      <c r="Q82" s="70"/>
      <c r="R82" s="218"/>
      <c r="S82" s="218"/>
      <c r="T82" s="217" t="str">
        <f t="shared" ca="1" si="17"/>
        <v>B.1.03</v>
      </c>
      <c r="U82" s="218"/>
      <c r="V82" s="218"/>
      <c r="W82" s="81">
        <v>4</v>
      </c>
      <c r="X82" s="87">
        <f t="shared" ca="1" si="18"/>
        <v>4</v>
      </c>
      <c r="Y82" s="211" t="str">
        <f t="shared" si="19"/>
        <v>x 4</v>
      </c>
      <c r="AI82" s="84"/>
    </row>
    <row r="83" spans="1:35" s="77" customFormat="1" ht="60" x14ac:dyDescent="0.25">
      <c r="A83" s="68">
        <v>76</v>
      </c>
      <c r="B83" s="165" t="str">
        <f t="shared" ca="1" si="13"/>
        <v>B.1.04</v>
      </c>
      <c r="C83" s="20">
        <f t="shared" ca="1" si="14"/>
        <v>5</v>
      </c>
      <c r="D83" s="20"/>
      <c r="E83" s="71" t="str">
        <f t="shared" ca="1" si="15"/>
        <v>B.1.04</v>
      </c>
      <c r="F83" s="72" t="str">
        <f t="shared" ca="1" si="16"/>
        <v>Does your identification of testing types consider the use of an internal security test; end-to-end testing (i.e. for people, through data, devices, applications and infrastructure); emerging technologies (e.g. mobile applications); and social engineering?</v>
      </c>
      <c r="G83" s="168"/>
      <c r="H83" s="169"/>
      <c r="I83" s="169"/>
      <c r="J83" s="169"/>
      <c r="K83" s="169"/>
      <c r="L83" s="169"/>
      <c r="M83" s="169"/>
      <c r="N83" s="70"/>
      <c r="O83" s="70"/>
      <c r="P83" s="70"/>
      <c r="Q83" s="70"/>
      <c r="R83" s="218"/>
      <c r="S83" s="218"/>
      <c r="T83" s="217" t="str">
        <f t="shared" ca="1" si="17"/>
        <v>B.1.04</v>
      </c>
      <c r="U83" s="218"/>
      <c r="V83" s="218"/>
      <c r="W83" s="81">
        <v>5</v>
      </c>
      <c r="X83" s="87">
        <f t="shared" ca="1" si="18"/>
        <v>5</v>
      </c>
      <c r="Y83" s="211" t="str">
        <f t="shared" si="19"/>
        <v>x 5</v>
      </c>
      <c r="AI83" s="84"/>
    </row>
    <row r="84" spans="1:35" s="77" customFormat="1" ht="45" x14ac:dyDescent="0.25">
      <c r="A84" s="68">
        <v>77</v>
      </c>
      <c r="B84" s="165" t="str">
        <f t="shared" ca="1" si="13"/>
        <v>B.1.05</v>
      </c>
      <c r="C84" s="20">
        <f t="shared" ca="1" si="14"/>
        <v>5</v>
      </c>
      <c r="D84" s="20"/>
      <c r="E84" s="71" t="str">
        <f t="shared" ca="1" si="15"/>
        <v>B.1.05</v>
      </c>
      <c r="F84" s="72" t="str">
        <f t="shared" ca="1" si="16"/>
        <v>Does your identification of testing types consider Web application testing, Infrastructure testing and Specialised penetration testing, such as for mobile, client server or cloud-based applications</v>
      </c>
      <c r="G84" s="168"/>
      <c r="H84" s="169"/>
      <c r="I84" s="169"/>
      <c r="J84" s="169"/>
      <c r="K84" s="169"/>
      <c r="L84" s="169"/>
      <c r="M84" s="169"/>
      <c r="N84" s="70"/>
      <c r="O84" s="70"/>
      <c r="P84" s="70"/>
      <c r="Q84" s="70"/>
      <c r="R84" s="218"/>
      <c r="S84" s="218"/>
      <c r="T84" s="217" t="str">
        <f t="shared" ca="1" si="17"/>
        <v>B.1.05</v>
      </c>
      <c r="U84" s="218"/>
      <c r="V84" s="218"/>
      <c r="W84" s="81">
        <v>5</v>
      </c>
      <c r="X84" s="87">
        <f t="shared" ca="1" si="18"/>
        <v>5</v>
      </c>
      <c r="Y84" s="211" t="str">
        <f t="shared" si="19"/>
        <v>x 5</v>
      </c>
      <c r="AI84" s="84"/>
    </row>
    <row r="85" spans="1:35" s="77" customFormat="1" ht="30" customHeight="1" x14ac:dyDescent="0.25">
      <c r="A85" s="68">
        <v>78</v>
      </c>
      <c r="B85" s="165" t="str">
        <f t="shared" ca="1" si="13"/>
        <v>B.1.06</v>
      </c>
      <c r="C85" s="20">
        <f t="shared" ca="1" si="14"/>
        <v>5</v>
      </c>
      <c r="D85" s="20"/>
      <c r="E85" s="71" t="str">
        <f t="shared" ca="1" si="15"/>
        <v>B.1.06</v>
      </c>
      <c r="F85" s="72" t="str">
        <f t="shared" ca="1" si="16"/>
        <v>Is your test environment as similar to the live environment as possible?</v>
      </c>
      <c r="G85" s="168"/>
      <c r="H85" s="169"/>
      <c r="I85" s="169"/>
      <c r="J85" s="169"/>
      <c r="K85" s="169"/>
      <c r="L85" s="169"/>
      <c r="M85" s="169"/>
      <c r="N85" s="70"/>
      <c r="O85" s="70"/>
      <c r="P85" s="70"/>
      <c r="Q85" s="70"/>
      <c r="R85" s="218"/>
      <c r="S85" s="218"/>
      <c r="T85" s="217" t="str">
        <f t="shared" ca="1" si="17"/>
        <v>B.1.06</v>
      </c>
      <c r="U85" s="218"/>
      <c r="V85" s="218"/>
      <c r="W85" s="81">
        <v>5</v>
      </c>
      <c r="X85" s="87">
        <f t="shared" ca="1" si="18"/>
        <v>5</v>
      </c>
      <c r="Y85" s="211" t="str">
        <f t="shared" si="19"/>
        <v>x 5</v>
      </c>
      <c r="AI85" s="84"/>
    </row>
    <row r="86" spans="1:35" s="77" customFormat="1" ht="30" customHeight="1" x14ac:dyDescent="0.25">
      <c r="A86" s="68">
        <v>79</v>
      </c>
      <c r="B86" s="165" t="str">
        <f t="shared" ca="1" si="13"/>
        <v>B.2</v>
      </c>
      <c r="C86" s="20">
        <f t="shared" ca="1" si="14"/>
        <v>2</v>
      </c>
      <c r="D86" s="20"/>
      <c r="E86" s="199" t="str">
        <f t="shared" ca="1" si="15"/>
        <v>Step 2</v>
      </c>
      <c r="F86" s="202" t="str">
        <f t="shared" ca="1" si="16"/>
        <v>Identify testing constraints</v>
      </c>
      <c r="G86" s="202"/>
      <c r="H86" s="202"/>
      <c r="I86" s="202"/>
      <c r="J86" s="202"/>
      <c r="K86" s="202"/>
      <c r="L86" s="202"/>
      <c r="M86" s="202"/>
      <c r="N86" s="202"/>
      <c r="O86" s="202"/>
      <c r="P86" s="202"/>
      <c r="Q86" s="202"/>
      <c r="R86" s="215"/>
      <c r="S86" s="216"/>
      <c r="T86" s="217" t="str">
        <f t="shared" ca="1" si="17"/>
        <v>Step 2</v>
      </c>
      <c r="U86" s="216"/>
      <c r="V86" s="216"/>
      <c r="W86" s="81">
        <v>0</v>
      </c>
      <c r="X86" s="87">
        <f t="shared" ca="1" si="18"/>
        <v>0</v>
      </c>
      <c r="Y86" s="211" t="e">
        <f t="shared" si="19"/>
        <v>#N/A</v>
      </c>
      <c r="AI86" s="84"/>
    </row>
    <row r="87" spans="1:35" s="77" customFormat="1" ht="30" customHeight="1" x14ac:dyDescent="0.25">
      <c r="A87" s="68">
        <v>80</v>
      </c>
      <c r="B87" s="165" t="str">
        <f t="shared" ca="1" si="13"/>
        <v>B.2.01</v>
      </c>
      <c r="C87" s="20">
        <f t="shared" ca="1" si="14"/>
        <v>5</v>
      </c>
      <c r="D87" s="20"/>
      <c r="E87" s="71" t="str">
        <f t="shared" ca="1" si="15"/>
        <v>B.2.01</v>
      </c>
      <c r="F87" s="72" t="str">
        <f t="shared" ca="1" si="16"/>
        <v>Do you identify any testing constraints associated with the planned penetration testing?</v>
      </c>
      <c r="G87" s="168"/>
      <c r="H87" s="169"/>
      <c r="I87" s="169"/>
      <c r="J87" s="169"/>
      <c r="K87" s="169"/>
      <c r="L87" s="169"/>
      <c r="M87" s="169"/>
      <c r="N87" s="70"/>
      <c r="O87" s="70"/>
      <c r="P87" s="70"/>
      <c r="Q87" s="70"/>
      <c r="R87" s="218"/>
      <c r="S87" s="218"/>
      <c r="T87" s="217" t="str">
        <f t="shared" ca="1" si="17"/>
        <v>B.2.01</v>
      </c>
      <c r="U87" s="218"/>
      <c r="V87" s="218"/>
      <c r="W87" s="81">
        <v>1</v>
      </c>
      <c r="X87" s="87">
        <f t="shared" ca="1" si="18"/>
        <v>1</v>
      </c>
      <c r="Y87" s="211" t="str">
        <f t="shared" si="19"/>
        <v>x 1</v>
      </c>
      <c r="AI87" s="84"/>
    </row>
    <row r="88" spans="1:35" s="77" customFormat="1" ht="75" x14ac:dyDescent="0.25">
      <c r="A88" s="68">
        <v>81</v>
      </c>
      <c r="B88" s="165" t="str">
        <f t="shared" ca="1" si="13"/>
        <v>B.2.02</v>
      </c>
      <c r="C88" s="20">
        <f t="shared" ca="1" si="14"/>
        <v>5</v>
      </c>
      <c r="D88" s="20"/>
      <c r="E88" s="71" t="str">
        <f t="shared" ca="1" si="15"/>
        <v>B.2.02</v>
      </c>
      <c r="F88" s="72" t="str">
        <f t="shared" ca="1" si="16"/>
        <v>When identifying testing constraints, do you allow for aspects of the business that cannot be tested due to operational limitations, considering that attackers often do whatever it takes to penetrate an organisation or system (If they are not able to penetrate a particular system, they may simply try another route.)?</v>
      </c>
      <c r="G88" s="168"/>
      <c r="H88" s="169"/>
      <c r="I88" s="169"/>
      <c r="J88" s="169"/>
      <c r="K88" s="169"/>
      <c r="L88" s="169"/>
      <c r="M88" s="169"/>
      <c r="N88" s="70"/>
      <c r="O88" s="70"/>
      <c r="P88" s="70"/>
      <c r="Q88" s="70"/>
      <c r="R88" s="218"/>
      <c r="S88" s="218"/>
      <c r="T88" s="217" t="str">
        <f t="shared" ca="1" si="17"/>
        <v>B.2.02</v>
      </c>
      <c r="U88" s="218"/>
      <c r="V88" s="218"/>
      <c r="W88" s="81">
        <v>5</v>
      </c>
      <c r="X88" s="87">
        <f t="shared" ca="1" si="18"/>
        <v>5</v>
      </c>
      <c r="Y88" s="211" t="str">
        <f t="shared" si="19"/>
        <v>x 5</v>
      </c>
      <c r="AI88" s="84"/>
    </row>
    <row r="89" spans="1:35" s="77" customFormat="1" ht="45" x14ac:dyDescent="0.25">
      <c r="A89" s="68">
        <v>82</v>
      </c>
      <c r="B89" s="165" t="str">
        <f t="shared" ca="1" si="13"/>
        <v/>
      </c>
      <c r="C89" s="20">
        <f t="shared" ca="1" si="14"/>
        <v>3</v>
      </c>
      <c r="D89" s="20"/>
      <c r="E89" s="71" t="str">
        <f t="shared" ca="1" si="15"/>
        <v/>
      </c>
      <c r="F89" s="166" t="str">
        <f t="shared" ca="1" si="16"/>
        <v>Methods of dealing with operational testing constraints can include simulating live tests as closely as possible and conducting tests outside of normal hours (and locations).</v>
      </c>
      <c r="G89" s="168"/>
      <c r="H89" s="169"/>
      <c r="I89" s="169"/>
      <c r="J89" s="169"/>
      <c r="K89" s="169"/>
      <c r="L89" s="169"/>
      <c r="M89" s="169"/>
      <c r="N89" s="70"/>
      <c r="O89" s="70"/>
      <c r="P89" s="70"/>
      <c r="Q89" s="70"/>
      <c r="R89" s="218"/>
      <c r="S89" s="218"/>
      <c r="T89" s="217" t="str">
        <f t="shared" ca="1" si="17"/>
        <v/>
      </c>
      <c r="U89" s="218"/>
      <c r="V89" s="218"/>
      <c r="W89" s="80">
        <v>0</v>
      </c>
      <c r="X89" s="87">
        <f t="shared" ca="1" si="18"/>
        <v>0</v>
      </c>
      <c r="Y89" s="211" t="e">
        <f t="shared" si="19"/>
        <v>#N/A</v>
      </c>
      <c r="AH89" s="70"/>
      <c r="AI89" s="84"/>
    </row>
    <row r="90" spans="1:35" s="77" customFormat="1" ht="45" x14ac:dyDescent="0.25">
      <c r="A90" s="68">
        <v>83</v>
      </c>
      <c r="B90" s="165" t="str">
        <f t="shared" ca="1" si="13"/>
        <v>B.2.03</v>
      </c>
      <c r="C90" s="20">
        <f t="shared" ca="1" si="14"/>
        <v>5</v>
      </c>
      <c r="D90" s="20"/>
      <c r="E90" s="71" t="str">
        <f t="shared" ca="1" si="15"/>
        <v>B.2.03</v>
      </c>
      <c r="F90" s="72" t="str">
        <f t="shared" ca="1" si="16"/>
        <v>When identifying testing constraints, do you allow for testing having to be conducted within the confines of the law (considering that attackers often do whatever it takes to penetrate an organisation or system)?</v>
      </c>
      <c r="G90" s="168"/>
      <c r="H90" s="169"/>
      <c r="I90" s="169"/>
      <c r="J90" s="169"/>
      <c r="K90" s="169"/>
      <c r="L90" s="169"/>
      <c r="M90" s="169"/>
      <c r="N90" s="70"/>
      <c r="O90" s="70"/>
      <c r="P90" s="70"/>
      <c r="Q90" s="70"/>
      <c r="R90" s="218"/>
      <c r="S90" s="218"/>
      <c r="T90" s="217" t="str">
        <f t="shared" ca="1" si="17"/>
        <v>B.2.03</v>
      </c>
      <c r="U90" s="218"/>
      <c r="V90" s="218"/>
      <c r="W90" s="81">
        <v>4</v>
      </c>
      <c r="X90" s="87">
        <f t="shared" ca="1" si="18"/>
        <v>4</v>
      </c>
      <c r="Y90" s="211" t="str">
        <f t="shared" si="19"/>
        <v>x 4</v>
      </c>
      <c r="AI90" s="84"/>
    </row>
    <row r="91" spans="1:35" s="77" customFormat="1" ht="45" x14ac:dyDescent="0.25">
      <c r="A91" s="68">
        <v>84</v>
      </c>
      <c r="B91" s="165" t="str">
        <f t="shared" ca="1" si="13"/>
        <v/>
      </c>
      <c r="C91" s="20">
        <f t="shared" ca="1" si="14"/>
        <v>3</v>
      </c>
      <c r="D91" s="20"/>
      <c r="E91" s="71" t="str">
        <f t="shared" ca="1" si="15"/>
        <v/>
      </c>
      <c r="F91" s="166" t="str">
        <f t="shared" ca="1" si="16"/>
        <v>Methods of dealing with legal testing constraints can include tailoring the way tests are structured and run to simulate most forms of attack) and taking back-ups of critical systems and files before testing.</v>
      </c>
      <c r="G91" s="168"/>
      <c r="H91" s="169"/>
      <c r="I91" s="169"/>
      <c r="J91" s="169"/>
      <c r="K91" s="169"/>
      <c r="L91" s="169"/>
      <c r="M91" s="169"/>
      <c r="N91" s="70"/>
      <c r="O91" s="70"/>
      <c r="P91" s="70"/>
      <c r="Q91" s="70"/>
      <c r="R91" s="218"/>
      <c r="S91" s="218"/>
      <c r="T91" s="217" t="str">
        <f t="shared" ca="1" si="17"/>
        <v/>
      </c>
      <c r="U91" s="218"/>
      <c r="V91" s="218"/>
      <c r="W91" s="80">
        <v>0</v>
      </c>
      <c r="X91" s="87">
        <f t="shared" ca="1" si="18"/>
        <v>0</v>
      </c>
      <c r="Y91" s="211" t="e">
        <f t="shared" si="19"/>
        <v>#N/A</v>
      </c>
      <c r="AH91" s="70"/>
      <c r="AI91" s="84"/>
    </row>
    <row r="92" spans="1:35" s="77" customFormat="1" ht="105" x14ac:dyDescent="0.25">
      <c r="A92" s="68">
        <v>85</v>
      </c>
      <c r="B92" s="165" t="str">
        <f t="shared" ca="1" si="13"/>
        <v>B.2.04</v>
      </c>
      <c r="C92" s="20">
        <f t="shared" ca="1" si="14"/>
        <v>5</v>
      </c>
      <c r="D92" s="20"/>
      <c r="E92" s="71" t="str">
        <f t="shared" ca="1" si="15"/>
        <v>B.2.04</v>
      </c>
      <c r="F92" s="72" t="str">
        <f t="shared" ca="1" si="16"/>
        <v>When identifying testing constraints, do you allow for testers being limited to the scope of the testing and a finite time to conduct tests, considering that attackers will utilise the weakest point of security in any part of connected systems or networks to mount an attack, regardless of ownership, location or jurisdiction – and will often have unlimited time to mount a concerted attack against a system if they have the motivation, capability and resources to do so?</v>
      </c>
      <c r="G92" s="168"/>
      <c r="H92" s="169"/>
      <c r="I92" s="169"/>
      <c r="J92" s="169"/>
      <c r="K92" s="169"/>
      <c r="L92" s="169"/>
      <c r="M92" s="169"/>
      <c r="N92" s="70"/>
      <c r="O92" s="70"/>
      <c r="P92" s="70"/>
      <c r="Q92" s="70"/>
      <c r="R92" s="218"/>
      <c r="S92" s="218"/>
      <c r="T92" s="217" t="str">
        <f t="shared" ca="1" si="17"/>
        <v>B.2.04</v>
      </c>
      <c r="U92" s="218"/>
      <c r="V92" s="218"/>
      <c r="W92" s="81">
        <v>4</v>
      </c>
      <c r="X92" s="87">
        <f t="shared" ca="1" si="18"/>
        <v>4</v>
      </c>
      <c r="Y92" s="211" t="str">
        <f t="shared" si="19"/>
        <v>x 4</v>
      </c>
      <c r="AI92" s="84"/>
    </row>
    <row r="93" spans="1:35" s="77" customFormat="1" ht="60" x14ac:dyDescent="0.25">
      <c r="A93" s="68">
        <v>86</v>
      </c>
      <c r="B93" s="165" t="str">
        <f t="shared" ca="1" si="13"/>
        <v/>
      </c>
      <c r="C93" s="20">
        <f t="shared" ca="1" si="14"/>
        <v>3</v>
      </c>
      <c r="D93" s="20"/>
      <c r="E93" s="71" t="str">
        <f t="shared" ca="1" si="15"/>
        <v/>
      </c>
      <c r="F93" s="166" t="str">
        <f t="shared" ca="1" si="16"/>
        <v>Methods of dealing with scope-related testing constraints can include placing perimeter controls within the scope of the test and applying more rigorous testing to applications that are accessible from outside traditional organisational boundaries.</v>
      </c>
      <c r="G93" s="168"/>
      <c r="H93" s="169"/>
      <c r="I93" s="169"/>
      <c r="J93" s="169"/>
      <c r="K93" s="169"/>
      <c r="L93" s="169"/>
      <c r="M93" s="169"/>
      <c r="N93" s="70"/>
      <c r="O93" s="70"/>
      <c r="P93" s="70"/>
      <c r="Q93" s="70"/>
      <c r="R93" s="218"/>
      <c r="S93" s="218"/>
      <c r="T93" s="217" t="str">
        <f t="shared" ca="1" si="17"/>
        <v/>
      </c>
      <c r="U93" s="218"/>
      <c r="V93" s="218"/>
      <c r="W93" s="80">
        <v>0</v>
      </c>
      <c r="X93" s="87">
        <f t="shared" ca="1" si="18"/>
        <v>0</v>
      </c>
      <c r="Y93" s="211" t="e">
        <f t="shared" si="19"/>
        <v>#N/A</v>
      </c>
      <c r="AH93" s="70"/>
      <c r="AI93" s="84"/>
    </row>
    <row r="94" spans="1:35" s="77" customFormat="1" ht="60" x14ac:dyDescent="0.25">
      <c r="A94" s="68">
        <v>87</v>
      </c>
      <c r="B94" s="165" t="str">
        <f t="shared" ca="1" si="13"/>
        <v>B.2.05</v>
      </c>
      <c r="C94" s="20">
        <f t="shared" ca="1" si="14"/>
        <v>5</v>
      </c>
      <c r="D94" s="20"/>
      <c r="E94" s="71" t="str">
        <f t="shared" ca="1" si="15"/>
        <v>B.2.05</v>
      </c>
      <c r="F94" s="72" t="str">
        <f t="shared" ca="1" si="16"/>
        <v>When identifying testing constraints, do you allow for testers having limited time to conduct tests, considering that attackers have unlimited time to mount a concerted attack against a system if they have the motivation, capability and resources to do so?</v>
      </c>
      <c r="G94" s="168"/>
      <c r="H94" s="169"/>
      <c r="I94" s="169"/>
      <c r="J94" s="169"/>
      <c r="K94" s="169"/>
      <c r="L94" s="169"/>
      <c r="M94" s="169"/>
      <c r="N94" s="70"/>
      <c r="O94" s="70"/>
      <c r="P94" s="70"/>
      <c r="Q94" s="70"/>
      <c r="R94" s="218"/>
      <c r="S94" s="218"/>
      <c r="T94" s="217" t="str">
        <f t="shared" ca="1" si="17"/>
        <v>B.2.05</v>
      </c>
      <c r="U94" s="218"/>
      <c r="V94" s="218"/>
      <c r="W94" s="81">
        <v>4</v>
      </c>
      <c r="X94" s="87">
        <f t="shared" ca="1" si="18"/>
        <v>4</v>
      </c>
      <c r="Y94" s="211" t="str">
        <f t="shared" si="19"/>
        <v>x 4</v>
      </c>
      <c r="AI94" s="84"/>
    </row>
    <row r="95" spans="1:35" s="77" customFormat="1" ht="60" x14ac:dyDescent="0.25">
      <c r="A95" s="68">
        <v>88</v>
      </c>
      <c r="B95" s="165" t="str">
        <f t="shared" ca="1" si="13"/>
        <v/>
      </c>
      <c r="C95" s="20">
        <f t="shared" ca="1" si="14"/>
        <v>3</v>
      </c>
      <c r="D95" s="20"/>
      <c r="E95" s="71" t="str">
        <f t="shared" ca="1" si="15"/>
        <v/>
      </c>
      <c r="F95" s="166" t="str">
        <f t="shared" ca="1" si="16"/>
        <v>Methods of dealing with time constraints can include Investing more time in testing critical systems; providing testers with as much background information as possible; and conducting penetration testing on a regular basis, rather than as a one-off exercise.</v>
      </c>
      <c r="G95" s="168"/>
      <c r="H95" s="169"/>
      <c r="I95" s="169"/>
      <c r="J95" s="169"/>
      <c r="K95" s="169"/>
      <c r="L95" s="169"/>
      <c r="M95" s="169"/>
      <c r="N95" s="70"/>
      <c r="O95" s="70"/>
      <c r="P95" s="70"/>
      <c r="Q95" s="70"/>
      <c r="R95" s="218"/>
      <c r="S95" s="218"/>
      <c r="T95" s="217" t="str">
        <f t="shared" ca="1" si="17"/>
        <v/>
      </c>
      <c r="U95" s="218"/>
      <c r="V95" s="218"/>
      <c r="W95" s="80">
        <v>0</v>
      </c>
      <c r="X95" s="87">
        <f t="shared" ca="1" si="18"/>
        <v>0</v>
      </c>
      <c r="Y95" s="211" t="e">
        <f t="shared" si="19"/>
        <v>#N/A</v>
      </c>
      <c r="AH95" s="70"/>
      <c r="AI95" s="84"/>
    </row>
    <row r="96" spans="1:35" s="77" customFormat="1" ht="75" x14ac:dyDescent="0.25">
      <c r="A96" s="68">
        <v>89</v>
      </c>
      <c r="B96" s="165" t="str">
        <f t="shared" ca="1" si="13"/>
        <v>B.2.06</v>
      </c>
      <c r="C96" s="20">
        <f t="shared" ca="1" si="14"/>
        <v>5</v>
      </c>
      <c r="D96" s="20"/>
      <c r="E96" s="71" t="str">
        <f t="shared" ca="1" si="15"/>
        <v>B.2.06</v>
      </c>
      <c r="F96" s="72" t="str">
        <f t="shared" ca="1" si="16"/>
        <v>When identifying testing constraints, do you allow for the likelihood that most penetration testing will not find all vulnerabilities of a given environment (the law of diminishing returns often applies in that the most obvious vulnerabilities will be discovered first, with further time yielding more and more obscure issues)?</v>
      </c>
      <c r="G96" s="168"/>
      <c r="H96" s="169"/>
      <c r="I96" s="169"/>
      <c r="J96" s="169"/>
      <c r="K96" s="169"/>
      <c r="L96" s="169"/>
      <c r="M96" s="169"/>
      <c r="N96" s="70"/>
      <c r="O96" s="70"/>
      <c r="P96" s="70"/>
      <c r="Q96" s="70"/>
      <c r="R96" s="218"/>
      <c r="S96" s="218"/>
      <c r="T96" s="217" t="str">
        <f t="shared" ca="1" si="17"/>
        <v>B.2.06</v>
      </c>
      <c r="U96" s="218"/>
      <c r="V96" s="218"/>
      <c r="W96" s="81">
        <v>4</v>
      </c>
      <c r="X96" s="87">
        <f t="shared" ca="1" si="18"/>
        <v>4</v>
      </c>
      <c r="Y96" s="211" t="str">
        <f t="shared" si="19"/>
        <v>x 4</v>
      </c>
      <c r="AI96" s="84"/>
    </row>
    <row r="97" spans="1:35" s="77" customFormat="1" ht="75" x14ac:dyDescent="0.25">
      <c r="A97" s="68">
        <v>90</v>
      </c>
      <c r="B97" s="165" t="str">
        <f t="shared" ca="1" si="13"/>
        <v/>
      </c>
      <c r="C97" s="20">
        <f t="shared" ca="1" si="14"/>
        <v>3</v>
      </c>
      <c r="D97" s="20"/>
      <c r="E97" s="71" t="str">
        <f t="shared" ca="1" si="15"/>
        <v/>
      </c>
      <c r="F97" s="166" t="str">
        <f t="shared" ca="1" si="16"/>
        <v>Methods of dealing with this type of testing constraint can include adopting a ‘risk to cost balance’ when performing tests and doing more than simply fixing vulnerabilities uncovered during testing as this could leave a number of other vulnerabilities present for an attacker to find.</v>
      </c>
      <c r="G97" s="168"/>
      <c r="H97" s="169"/>
      <c r="I97" s="169"/>
      <c r="J97" s="169"/>
      <c r="K97" s="169"/>
      <c r="L97" s="169"/>
      <c r="M97" s="169"/>
      <c r="N97" s="70"/>
      <c r="O97" s="70"/>
      <c r="P97" s="70"/>
      <c r="Q97" s="70"/>
      <c r="R97" s="218"/>
      <c r="S97" s="218"/>
      <c r="T97" s="217" t="str">
        <f t="shared" ca="1" si="17"/>
        <v/>
      </c>
      <c r="U97" s="218"/>
      <c r="V97" s="218"/>
      <c r="W97" s="80">
        <v>0</v>
      </c>
      <c r="X97" s="87">
        <f t="shared" ca="1" si="18"/>
        <v>0</v>
      </c>
      <c r="Y97" s="211" t="e">
        <f t="shared" si="19"/>
        <v>#N/A</v>
      </c>
      <c r="AH97" s="70"/>
      <c r="AI97" s="84"/>
    </row>
    <row r="98" spans="1:35" s="77" customFormat="1" ht="30" customHeight="1" x14ac:dyDescent="0.25">
      <c r="A98" s="68">
        <v>91</v>
      </c>
      <c r="B98" s="165" t="str">
        <f t="shared" ca="1" si="13"/>
        <v>B.2.07</v>
      </c>
      <c r="C98" s="20">
        <f t="shared" ca="1" si="14"/>
        <v>5</v>
      </c>
      <c r="D98" s="20"/>
      <c r="E98" s="71" t="str">
        <f t="shared" ca="1" si="15"/>
        <v>B.2.07</v>
      </c>
      <c r="F98" s="72" t="str">
        <f t="shared" ca="1" si="16"/>
        <v>Have you identified technical issues that can affect the scope of the test or the security countermeasures in place to detect and deter attacks?</v>
      </c>
      <c r="G98" s="168"/>
      <c r="H98" s="169"/>
      <c r="I98" s="169"/>
      <c r="J98" s="169"/>
      <c r="K98" s="169"/>
      <c r="L98" s="169"/>
      <c r="M98" s="169"/>
      <c r="N98" s="70"/>
      <c r="O98" s="70"/>
      <c r="P98" s="70"/>
      <c r="Q98" s="70"/>
      <c r="R98" s="218"/>
      <c r="S98" s="218"/>
      <c r="T98" s="217" t="str">
        <f t="shared" ca="1" si="17"/>
        <v>B.2.07</v>
      </c>
      <c r="U98" s="218"/>
      <c r="V98" s="218"/>
      <c r="W98" s="81">
        <v>4</v>
      </c>
      <c r="X98" s="87">
        <f t="shared" ca="1" si="18"/>
        <v>4</v>
      </c>
      <c r="Y98" s="211" t="str">
        <f t="shared" si="19"/>
        <v>x 4</v>
      </c>
      <c r="AI98" s="84"/>
    </row>
    <row r="99" spans="1:35" s="77" customFormat="1" ht="90" x14ac:dyDescent="0.25">
      <c r="A99" s="68">
        <v>92</v>
      </c>
      <c r="B99" s="165" t="str">
        <f t="shared" ca="1" si="13"/>
        <v/>
      </c>
      <c r="C99" s="20">
        <f t="shared" ca="1" si="14"/>
        <v>3</v>
      </c>
      <c r="D99" s="20"/>
      <c r="E99" s="71" t="str">
        <f t="shared" ca="1" si="15"/>
        <v/>
      </c>
      <c r="F99" s="166" t="str">
        <f t="shared" ca="1" si="16"/>
        <v>Methods of dealing with technical testing constraints can include Implementing policy exceptions; allowing for vulnerabilities that will not be discovered if the testing is undertaken from outside your network; adopting a practical scope that will meet your requirements; and ensuring that the test simulation comes very close to replicating a real malicious attack.</v>
      </c>
      <c r="G99" s="168"/>
      <c r="H99" s="169"/>
      <c r="I99" s="169"/>
      <c r="J99" s="169"/>
      <c r="K99" s="169"/>
      <c r="L99" s="169"/>
      <c r="M99" s="169"/>
      <c r="N99" s="70"/>
      <c r="O99" s="70"/>
      <c r="P99" s="70"/>
      <c r="Q99" s="70"/>
      <c r="R99" s="218"/>
      <c r="S99" s="218"/>
      <c r="T99" s="217" t="str">
        <f t="shared" ca="1" si="17"/>
        <v/>
      </c>
      <c r="U99" s="218"/>
      <c r="V99" s="218"/>
      <c r="W99" s="80">
        <v>0</v>
      </c>
      <c r="X99" s="87">
        <f t="shared" ca="1" si="18"/>
        <v>0</v>
      </c>
      <c r="Y99" s="211" t="e">
        <f t="shared" si="19"/>
        <v>#N/A</v>
      </c>
      <c r="AH99" s="70"/>
      <c r="AI99" s="84"/>
    </row>
    <row r="100" spans="1:35" s="77" customFormat="1" ht="30" customHeight="1" x14ac:dyDescent="0.25">
      <c r="A100" s="68">
        <v>93</v>
      </c>
      <c r="B100" s="165" t="str">
        <f t="shared" ca="1" si="13"/>
        <v>B.2.08</v>
      </c>
      <c r="C100" s="20">
        <f t="shared" ca="1" si="14"/>
        <v>5</v>
      </c>
      <c r="D100" s="20"/>
      <c r="E100" s="71" t="str">
        <f t="shared" ca="1" si="15"/>
        <v>B.2.08</v>
      </c>
      <c r="F100" s="72" t="str">
        <f t="shared" ca="1" si="16"/>
        <v>Have you determined how you will make sure that all parties adhere to testing constraints?</v>
      </c>
      <c r="G100" s="168"/>
      <c r="H100" s="169"/>
      <c r="I100" s="169"/>
      <c r="J100" s="169"/>
      <c r="K100" s="169"/>
      <c r="L100" s="169"/>
      <c r="M100" s="169"/>
      <c r="N100" s="70"/>
      <c r="O100" s="70"/>
      <c r="P100" s="70"/>
      <c r="Q100" s="70"/>
      <c r="R100" s="218"/>
      <c r="S100" s="218"/>
      <c r="T100" s="217" t="str">
        <f t="shared" ca="1" si="17"/>
        <v>B.2.08</v>
      </c>
      <c r="U100" s="218"/>
      <c r="V100" s="218"/>
      <c r="W100" s="81">
        <v>5</v>
      </c>
      <c r="X100" s="87">
        <f t="shared" ca="1" si="18"/>
        <v>5</v>
      </c>
      <c r="Y100" s="211" t="str">
        <f t="shared" si="19"/>
        <v>x 5</v>
      </c>
      <c r="AI100" s="84"/>
    </row>
    <row r="101" spans="1:35" s="77" customFormat="1" ht="30" customHeight="1" x14ac:dyDescent="0.25">
      <c r="A101" s="68">
        <v>94</v>
      </c>
      <c r="B101" s="165" t="str">
        <f t="shared" ca="1" si="13"/>
        <v>B.3</v>
      </c>
      <c r="C101" s="20">
        <f t="shared" ca="1" si="14"/>
        <v>2</v>
      </c>
      <c r="D101" s="20"/>
      <c r="E101" s="199" t="str">
        <f t="shared" ca="1" si="15"/>
        <v>Step 3</v>
      </c>
      <c r="F101" s="202" t="str">
        <f t="shared" ca="1" si="16"/>
        <v>Produce scope statements</v>
      </c>
      <c r="G101" s="202"/>
      <c r="H101" s="202"/>
      <c r="I101" s="202"/>
      <c r="J101" s="202"/>
      <c r="K101" s="202"/>
      <c r="L101" s="202"/>
      <c r="M101" s="202"/>
      <c r="N101" s="202"/>
      <c r="O101" s="202"/>
      <c r="P101" s="202"/>
      <c r="Q101" s="202"/>
      <c r="R101" s="215"/>
      <c r="S101" s="216"/>
      <c r="T101" s="217" t="str">
        <f t="shared" ca="1" si="17"/>
        <v>Step 3</v>
      </c>
      <c r="U101" s="216"/>
      <c r="V101" s="216"/>
      <c r="W101" s="81">
        <v>0</v>
      </c>
      <c r="X101" s="87">
        <f t="shared" ca="1" si="18"/>
        <v>0</v>
      </c>
      <c r="Y101" s="211" t="e">
        <f t="shared" si="19"/>
        <v>#N/A</v>
      </c>
      <c r="AI101" s="84"/>
    </row>
    <row r="102" spans="1:35" s="77" customFormat="1" ht="30" customHeight="1" x14ac:dyDescent="0.25">
      <c r="A102" s="68">
        <v>95</v>
      </c>
      <c r="B102" s="165" t="str">
        <f t="shared" ca="1" si="13"/>
        <v>B.3.01</v>
      </c>
      <c r="C102" s="20">
        <f t="shared" ca="1" si="14"/>
        <v>5</v>
      </c>
      <c r="D102" s="20"/>
      <c r="E102" s="71" t="str">
        <f t="shared" ca="1" si="15"/>
        <v>B.3.01</v>
      </c>
      <c r="F102" s="72" t="str">
        <f t="shared" ca="1" si="16"/>
        <v>Do you formally define the scope of penetration tests prior to tests commencing?</v>
      </c>
      <c r="G102" s="168"/>
      <c r="H102" s="169"/>
      <c r="I102" s="169"/>
      <c r="J102" s="169"/>
      <c r="K102" s="169"/>
      <c r="L102" s="169"/>
      <c r="M102" s="169"/>
      <c r="N102" s="70"/>
      <c r="O102" s="70"/>
      <c r="P102" s="70"/>
      <c r="Q102" s="70"/>
      <c r="R102" s="218"/>
      <c r="S102" s="218"/>
      <c r="T102" s="217" t="str">
        <f t="shared" ca="1" si="17"/>
        <v>B.3.01</v>
      </c>
      <c r="U102" s="218"/>
      <c r="V102" s="218"/>
      <c r="W102" s="81">
        <v>1</v>
      </c>
      <c r="X102" s="87">
        <f t="shared" ca="1" si="18"/>
        <v>1</v>
      </c>
      <c r="Y102" s="211" t="str">
        <f t="shared" si="19"/>
        <v>x 1</v>
      </c>
      <c r="AI102" s="84"/>
    </row>
    <row r="103" spans="1:35" s="77" customFormat="1" ht="30" customHeight="1" x14ac:dyDescent="0.25">
      <c r="A103" s="68">
        <v>96</v>
      </c>
      <c r="B103" s="165" t="str">
        <f t="shared" ca="1" si="13"/>
        <v>B.3.02</v>
      </c>
      <c r="C103" s="20">
        <f t="shared" ca="1" si="14"/>
        <v>5</v>
      </c>
      <c r="D103" s="20"/>
      <c r="E103" s="71" t="str">
        <f t="shared" ca="1" si="15"/>
        <v>B.3.02</v>
      </c>
      <c r="F103" s="72" t="str">
        <f t="shared" ca="1" si="16"/>
        <v>Is the scope of penetration tests recorded in a formal document, such as a scope statement, that is signed-off by all relevant parties?</v>
      </c>
      <c r="G103" s="168"/>
      <c r="H103" s="169"/>
      <c r="I103" s="169"/>
      <c r="J103" s="169"/>
      <c r="K103" s="169"/>
      <c r="L103" s="169"/>
      <c r="M103" s="169"/>
      <c r="N103" s="70"/>
      <c r="O103" s="70"/>
      <c r="P103" s="70"/>
      <c r="Q103" s="70"/>
      <c r="R103" s="218"/>
      <c r="S103" s="218"/>
      <c r="T103" s="217" t="str">
        <f t="shared" ca="1" si="17"/>
        <v>B.3.02</v>
      </c>
      <c r="U103" s="218"/>
      <c r="V103" s="218"/>
      <c r="W103" s="81">
        <v>2</v>
      </c>
      <c r="X103" s="87">
        <f t="shared" ca="1" si="18"/>
        <v>2</v>
      </c>
      <c r="Y103" s="211" t="str">
        <f t="shared" si="19"/>
        <v>x 2</v>
      </c>
      <c r="AI103" s="84"/>
    </row>
    <row r="104" spans="1:35" s="77" customFormat="1" ht="60" x14ac:dyDescent="0.25">
      <c r="A104" s="68">
        <v>97</v>
      </c>
      <c r="B104" s="165" t="str">
        <f t="shared" ref="B104:B135" ca="1" si="20">VLOOKUP(A104,Contents_Text,2,FALSE)</f>
        <v/>
      </c>
      <c r="C104" s="20">
        <f t="shared" ref="C104:C135" ca="1" si="21">VLOOKUP(A104,Contents_Text,15,FALSE)</f>
        <v>3</v>
      </c>
      <c r="D104" s="20"/>
      <c r="E104" s="71" t="str">
        <f t="shared" ref="E104:E135" ca="1" si="22">IF(C104=1,"Stage "&amp;B104,IF(C104=2,"Step "&amp;VLOOKUP(A104,Contents_Text,4,FALSE),B104))</f>
        <v/>
      </c>
      <c r="F104" s="166" t="str">
        <f t="shared" ref="F104:F135" ca="1" si="23">VLOOKUP(A104,Contents_Text,7,FALSE)</f>
        <v>Relevant parties (i.e. named individuals or groups) required to sign-off the scope statement should include authorised and suitably qualified individuals from all relevant parties; plus relevant, qualified individuals dependent on the value of the system being tested (or similar).</v>
      </c>
      <c r="G104" s="168"/>
      <c r="H104" s="169"/>
      <c r="I104" s="169"/>
      <c r="J104" s="169"/>
      <c r="K104" s="169"/>
      <c r="L104" s="169"/>
      <c r="M104" s="169"/>
      <c r="N104" s="70"/>
      <c r="O104" s="70"/>
      <c r="P104" s="70"/>
      <c r="Q104" s="70"/>
      <c r="R104" s="218"/>
      <c r="S104" s="218"/>
      <c r="T104" s="217" t="str">
        <f t="shared" ref="T104:T135" ca="1" si="24">E104</f>
        <v/>
      </c>
      <c r="U104" s="218"/>
      <c r="V104" s="218"/>
      <c r="W104" s="80">
        <v>0</v>
      </c>
      <c r="X104" s="87">
        <f t="shared" ref="X104:X135" ca="1" si="25">VLOOKUP(A104,Contents_Text,8,FALSE)</f>
        <v>0</v>
      </c>
      <c r="Y104" s="211" t="e">
        <f t="shared" si="19"/>
        <v>#N/A</v>
      </c>
      <c r="AH104" s="70"/>
      <c r="AI104" s="84"/>
    </row>
    <row r="105" spans="1:35" s="77" customFormat="1" ht="30" customHeight="1" x14ac:dyDescent="0.25">
      <c r="A105" s="68">
        <v>98</v>
      </c>
      <c r="B105" s="165" t="str">
        <f t="shared" ca="1" si="20"/>
        <v>B.3.03</v>
      </c>
      <c r="C105" s="20">
        <f t="shared" ca="1" si="21"/>
        <v>5</v>
      </c>
      <c r="D105" s="20"/>
      <c r="E105" s="71" t="str">
        <f t="shared" ca="1" si="22"/>
        <v>B.3.03</v>
      </c>
      <c r="F105" s="72" t="str">
        <f t="shared" ca="1" si="23"/>
        <v>Does your scope statement include a definition of the target environment?</v>
      </c>
      <c r="G105" s="168"/>
      <c r="H105" s="169"/>
      <c r="I105" s="169"/>
      <c r="J105" s="169"/>
      <c r="K105" s="169"/>
      <c r="L105" s="169"/>
      <c r="M105" s="169"/>
      <c r="N105" s="70"/>
      <c r="O105" s="70"/>
      <c r="P105" s="70"/>
      <c r="Q105" s="70"/>
      <c r="R105" s="218"/>
      <c r="S105" s="218"/>
      <c r="T105" s="217" t="str">
        <f t="shared" ca="1" si="24"/>
        <v>B.3.03</v>
      </c>
      <c r="U105" s="218"/>
      <c r="V105" s="218"/>
      <c r="W105" s="81">
        <v>3</v>
      </c>
      <c r="X105" s="87">
        <f t="shared" ca="1" si="25"/>
        <v>3</v>
      </c>
      <c r="Y105" s="211" t="str">
        <f t="shared" si="19"/>
        <v>x 3</v>
      </c>
      <c r="AI105" s="84"/>
    </row>
    <row r="106" spans="1:35" s="77" customFormat="1" ht="105" x14ac:dyDescent="0.25">
      <c r="A106" s="68">
        <v>99</v>
      </c>
      <c r="B106" s="165" t="str">
        <f t="shared" ca="1" si="20"/>
        <v/>
      </c>
      <c r="C106" s="20">
        <f t="shared" ca="1" si="21"/>
        <v>3</v>
      </c>
      <c r="D106" s="20"/>
      <c r="E106" s="71" t="str">
        <f t="shared" ca="1" si="22"/>
        <v/>
      </c>
      <c r="F106" s="166" t="str">
        <f t="shared" ca="1" si="23"/>
        <v>The definition of the target environment should include: which systems are in and out of scope; the testing approach being adopted (e.g. black, white or grey box); types of test that are prohibited (e.g. ‘denial of service’ type testing); where the testing team will need to be in order to conduct the testing (e.g. on the customer’s site or at the test service provider’s premises); and approvals required for various elements of the testing to go ahead.</v>
      </c>
      <c r="G106" s="168"/>
      <c r="H106" s="169"/>
      <c r="I106" s="169"/>
      <c r="J106" s="169"/>
      <c r="K106" s="169"/>
      <c r="L106" s="169"/>
      <c r="M106" s="169"/>
      <c r="N106" s="70"/>
      <c r="O106" s="70"/>
      <c r="P106" s="70"/>
      <c r="Q106" s="70"/>
      <c r="R106" s="218"/>
      <c r="S106" s="218"/>
      <c r="T106" s="217" t="str">
        <f t="shared" ca="1" si="24"/>
        <v/>
      </c>
      <c r="U106" s="218"/>
      <c r="V106" s="218"/>
      <c r="W106" s="80">
        <v>0</v>
      </c>
      <c r="X106" s="87">
        <f t="shared" ca="1" si="25"/>
        <v>0</v>
      </c>
      <c r="Y106" s="211" t="e">
        <f t="shared" si="19"/>
        <v>#N/A</v>
      </c>
      <c r="AH106" s="70"/>
      <c r="AI106" s="84"/>
    </row>
    <row r="107" spans="1:35" s="77" customFormat="1" ht="30" customHeight="1" x14ac:dyDescent="0.25">
      <c r="A107" s="68">
        <v>100</v>
      </c>
      <c r="B107" s="165" t="str">
        <f t="shared" ca="1" si="20"/>
        <v>B.3.04</v>
      </c>
      <c r="C107" s="20">
        <f t="shared" ca="1" si="21"/>
        <v>5</v>
      </c>
      <c r="D107" s="20"/>
      <c r="E107" s="71" t="str">
        <f t="shared" ca="1" si="22"/>
        <v>B.3.04</v>
      </c>
      <c r="F107" s="72" t="str">
        <f t="shared" ca="1" si="23"/>
        <v>Does your scope statement specify resourcing requirements?</v>
      </c>
      <c r="G107" s="168"/>
      <c r="H107" s="169"/>
      <c r="I107" s="169"/>
      <c r="J107" s="169"/>
      <c r="K107" s="169"/>
      <c r="L107" s="169"/>
      <c r="M107" s="169"/>
      <c r="N107" s="70"/>
      <c r="O107" s="70"/>
      <c r="P107" s="70"/>
      <c r="Q107" s="70"/>
      <c r="R107" s="218"/>
      <c r="S107" s="218"/>
      <c r="T107" s="217" t="str">
        <f t="shared" ca="1" si="24"/>
        <v>B.3.04</v>
      </c>
      <c r="U107" s="218"/>
      <c r="V107" s="218"/>
      <c r="W107" s="81">
        <v>3</v>
      </c>
      <c r="X107" s="87">
        <f t="shared" ca="1" si="25"/>
        <v>3</v>
      </c>
      <c r="Y107" s="211" t="str">
        <f t="shared" si="19"/>
        <v>x 3</v>
      </c>
      <c r="AI107" s="84"/>
    </row>
    <row r="108" spans="1:35" s="77" customFormat="1" ht="105" x14ac:dyDescent="0.25">
      <c r="A108" s="68">
        <v>101</v>
      </c>
      <c r="B108" s="165" t="str">
        <f t="shared" ca="1" si="20"/>
        <v/>
      </c>
      <c r="C108" s="20">
        <f t="shared" ca="1" si="21"/>
        <v>3</v>
      </c>
      <c r="D108" s="20"/>
      <c r="E108" s="71" t="str">
        <f t="shared" ca="1" si="22"/>
        <v/>
      </c>
      <c r="F108" s="166" t="str">
        <f t="shared" ca="1" si="23"/>
        <v>Resourcing requirements should specify who will be leading the testing engagement, the names of testers that will be used for the testing engagement (with details about their roles, skills, experience, qualifications and backgrounds) and the number of days required (including the days on which testing will take place) – and require a disclaimer stating that they are legally authorised to carry out specified activity on your property and systems.</v>
      </c>
      <c r="G108" s="168"/>
      <c r="H108" s="169"/>
      <c r="I108" s="169"/>
      <c r="J108" s="169"/>
      <c r="K108" s="169"/>
      <c r="L108" s="169"/>
      <c r="M108" s="169"/>
      <c r="N108" s="70"/>
      <c r="O108" s="70"/>
      <c r="P108" s="70"/>
      <c r="Q108" s="70"/>
      <c r="R108" s="218"/>
      <c r="S108" s="218"/>
      <c r="T108" s="217" t="str">
        <f t="shared" ca="1" si="24"/>
        <v/>
      </c>
      <c r="U108" s="218"/>
      <c r="V108" s="218"/>
      <c r="W108" s="80">
        <v>0</v>
      </c>
      <c r="X108" s="87">
        <f t="shared" ca="1" si="25"/>
        <v>0</v>
      </c>
      <c r="Y108" s="211" t="e">
        <f t="shared" si="19"/>
        <v>#N/A</v>
      </c>
      <c r="AH108" s="70"/>
      <c r="AI108" s="84"/>
    </row>
    <row r="109" spans="1:35" s="77" customFormat="1" ht="30" customHeight="1" x14ac:dyDescent="0.25">
      <c r="A109" s="68">
        <v>102</v>
      </c>
      <c r="B109" s="165" t="str">
        <f t="shared" ca="1" si="20"/>
        <v>B.3.05</v>
      </c>
      <c r="C109" s="20">
        <f t="shared" ca="1" si="21"/>
        <v>5</v>
      </c>
      <c r="D109" s="20"/>
      <c r="E109" s="71" t="str">
        <f t="shared" ca="1" si="22"/>
        <v>B.3.05</v>
      </c>
      <c r="F109" s="72" t="str">
        <f t="shared" ca="1" si="23"/>
        <v>Does your scope statement define liabilities?</v>
      </c>
      <c r="G109" s="168"/>
      <c r="H109" s="169"/>
      <c r="I109" s="169"/>
      <c r="J109" s="169"/>
      <c r="K109" s="169"/>
      <c r="L109" s="169"/>
      <c r="M109" s="169"/>
      <c r="N109" s="70"/>
      <c r="O109" s="70"/>
      <c r="P109" s="70"/>
      <c r="Q109" s="70"/>
      <c r="R109" s="218"/>
      <c r="S109" s="218"/>
      <c r="T109" s="217" t="str">
        <f t="shared" ca="1" si="24"/>
        <v>B.3.05</v>
      </c>
      <c r="U109" s="218"/>
      <c r="V109" s="218"/>
      <c r="W109" s="81">
        <v>5</v>
      </c>
      <c r="X109" s="87">
        <f t="shared" ca="1" si="25"/>
        <v>5</v>
      </c>
      <c r="Y109" s="211" t="str">
        <f t="shared" si="19"/>
        <v>x 5</v>
      </c>
      <c r="AI109" s="84"/>
    </row>
    <row r="110" spans="1:35" s="77" customFormat="1" ht="60" x14ac:dyDescent="0.25">
      <c r="A110" s="68">
        <v>103</v>
      </c>
      <c r="B110" s="165" t="str">
        <f t="shared" ca="1" si="20"/>
        <v/>
      </c>
      <c r="C110" s="20">
        <f t="shared" ca="1" si="21"/>
        <v>3</v>
      </c>
      <c r="D110" s="20"/>
      <c r="E110" s="71" t="str">
        <f t="shared" ca="1" si="22"/>
        <v/>
      </c>
      <c r="F110" s="166" t="str">
        <f t="shared" ca="1" si="23"/>
        <v>The definition of liabilities in the scope statement should specify the steps required by both parties should problems (e.g. slippage) arise and the details of liability (indemnity) insurance to be held by the testing service provider.</v>
      </c>
      <c r="G110" s="168"/>
      <c r="H110" s="169"/>
      <c r="I110" s="169"/>
      <c r="J110" s="169"/>
      <c r="K110" s="169"/>
      <c r="L110" s="169"/>
      <c r="M110" s="169"/>
      <c r="N110" s="70"/>
      <c r="O110" s="70"/>
      <c r="P110" s="70"/>
      <c r="Q110" s="70"/>
      <c r="R110" s="218"/>
      <c r="S110" s="218"/>
      <c r="T110" s="217" t="str">
        <f t="shared" ca="1" si="24"/>
        <v/>
      </c>
      <c r="U110" s="218"/>
      <c r="V110" s="218"/>
      <c r="W110" s="80">
        <v>0</v>
      </c>
      <c r="X110" s="87">
        <f t="shared" ca="1" si="25"/>
        <v>0</v>
      </c>
      <c r="Y110" s="211" t="e">
        <f t="shared" si="19"/>
        <v>#N/A</v>
      </c>
      <c r="AH110" s="70"/>
      <c r="AI110" s="84"/>
    </row>
    <row r="111" spans="1:35" s="77" customFormat="1" ht="30" customHeight="1" x14ac:dyDescent="0.25">
      <c r="A111" s="68">
        <v>104</v>
      </c>
      <c r="B111" s="165" t="str">
        <f t="shared" ca="1" si="20"/>
        <v>B.3.06</v>
      </c>
      <c r="C111" s="20">
        <f t="shared" ca="1" si="21"/>
        <v>5</v>
      </c>
      <c r="D111" s="20"/>
      <c r="E111" s="71" t="str">
        <f t="shared" ca="1" si="22"/>
        <v>B.3.06</v>
      </c>
      <c r="F111" s="72" t="str">
        <f t="shared" ca="1" si="23"/>
        <v>Does your scope statement include follow-up activities?</v>
      </c>
      <c r="G111" s="168"/>
      <c r="H111" s="169"/>
      <c r="I111" s="169"/>
      <c r="J111" s="169"/>
      <c r="K111" s="169"/>
      <c r="L111" s="169"/>
      <c r="M111" s="169"/>
      <c r="N111" s="70"/>
      <c r="O111" s="70"/>
      <c r="P111" s="70"/>
      <c r="Q111" s="70"/>
      <c r="R111" s="218"/>
      <c r="S111" s="218"/>
      <c r="T111" s="217" t="str">
        <f t="shared" ca="1" si="24"/>
        <v>B.3.06</v>
      </c>
      <c r="U111" s="218"/>
      <c r="V111" s="218"/>
      <c r="W111" s="81">
        <v>3</v>
      </c>
      <c r="X111" s="87">
        <f t="shared" ca="1" si="25"/>
        <v>3</v>
      </c>
      <c r="Y111" s="211" t="str">
        <f t="shared" si="19"/>
        <v>x 3</v>
      </c>
      <c r="AI111" s="84"/>
    </row>
    <row r="112" spans="1:35" s="77" customFormat="1" ht="60" x14ac:dyDescent="0.25">
      <c r="A112" s="68">
        <v>105</v>
      </c>
      <c r="B112" s="165" t="str">
        <f t="shared" ca="1" si="20"/>
        <v/>
      </c>
      <c r="C112" s="20">
        <f t="shared" ca="1" si="21"/>
        <v>3</v>
      </c>
      <c r="D112" s="20"/>
      <c r="E112" s="71" t="str">
        <f t="shared" ca="1" si="22"/>
        <v/>
      </c>
      <c r="F112" s="166" t="str">
        <f t="shared" ca="1" si="23"/>
        <v>Follow-up activities should include presentation of key findings and recommendations to senior management and any re-testing needed once mitigations have been made for the discovered vulnerabilities’ required by both parties should problems (e.g. slippage) arise.</v>
      </c>
      <c r="G112" s="168"/>
      <c r="H112" s="169"/>
      <c r="I112" s="169"/>
      <c r="J112" s="169"/>
      <c r="K112" s="169"/>
      <c r="L112" s="169"/>
      <c r="M112" s="169"/>
      <c r="N112" s="70"/>
      <c r="O112" s="70"/>
      <c r="P112" s="70"/>
      <c r="Q112" s="70"/>
      <c r="R112" s="218"/>
      <c r="S112" s="218"/>
      <c r="T112" s="217" t="str">
        <f t="shared" ca="1" si="24"/>
        <v/>
      </c>
      <c r="U112" s="218"/>
      <c r="V112" s="218"/>
      <c r="W112" s="80">
        <v>0</v>
      </c>
      <c r="X112" s="87">
        <f t="shared" ca="1" si="25"/>
        <v>0</v>
      </c>
      <c r="Y112" s="211" t="e">
        <f t="shared" si="19"/>
        <v>#N/A</v>
      </c>
      <c r="AH112" s="70"/>
      <c r="AI112" s="84"/>
    </row>
    <row r="113" spans="1:35" s="77" customFormat="1" ht="30" customHeight="1" x14ac:dyDescent="0.25">
      <c r="A113" s="68">
        <v>106</v>
      </c>
      <c r="B113" s="165" t="str">
        <f t="shared" ca="1" si="20"/>
        <v>B.3.07</v>
      </c>
      <c r="C113" s="20">
        <f t="shared" ca="1" si="21"/>
        <v>5</v>
      </c>
      <c r="D113" s="20"/>
      <c r="E113" s="71" t="str">
        <f t="shared" ca="1" si="22"/>
        <v>B.3.07</v>
      </c>
      <c r="F113" s="72" t="str">
        <f t="shared" ca="1" si="23"/>
        <v>Do you formally define reporting requirements for your penetration testing prior to tests commencing?</v>
      </c>
      <c r="G113" s="168"/>
      <c r="H113" s="169"/>
      <c r="I113" s="169"/>
      <c r="J113" s="169"/>
      <c r="K113" s="169"/>
      <c r="L113" s="169"/>
      <c r="M113" s="169"/>
      <c r="N113" s="70"/>
      <c r="O113" s="70"/>
      <c r="P113" s="70"/>
      <c r="Q113" s="70"/>
      <c r="R113" s="218"/>
      <c r="S113" s="218"/>
      <c r="T113" s="217" t="str">
        <f t="shared" ca="1" si="24"/>
        <v>B.3.07</v>
      </c>
      <c r="U113" s="218"/>
      <c r="V113" s="218"/>
      <c r="W113" s="81">
        <v>1</v>
      </c>
      <c r="X113" s="87">
        <f t="shared" ca="1" si="25"/>
        <v>1</v>
      </c>
      <c r="Y113" s="211" t="str">
        <f t="shared" si="19"/>
        <v>x 1</v>
      </c>
      <c r="AI113" s="84"/>
    </row>
    <row r="114" spans="1:35" s="77" customFormat="1" ht="60" x14ac:dyDescent="0.25">
      <c r="A114" s="68">
        <v>107</v>
      </c>
      <c r="B114" s="165" t="str">
        <f t="shared" ca="1" si="20"/>
        <v>B.3.08</v>
      </c>
      <c r="C114" s="20">
        <f t="shared" ca="1" si="21"/>
        <v>5</v>
      </c>
      <c r="D114" s="20"/>
      <c r="E114" s="71" t="str">
        <f t="shared" ca="1" si="22"/>
        <v>B.3.08</v>
      </c>
      <c r="F114" s="72" t="str">
        <f t="shared" ca="1" si="23"/>
        <v>Do your reporting requirements specify the format and type of content to be used in the test report (template often used; when the test report will be delivered (not later than a few days after completion of the test); and how the test report will be delivered (electronic and / or physical)?</v>
      </c>
      <c r="G114" s="168"/>
      <c r="H114" s="169"/>
      <c r="I114" s="169"/>
      <c r="J114" s="169"/>
      <c r="K114" s="169"/>
      <c r="L114" s="169"/>
      <c r="M114" s="169"/>
      <c r="N114" s="70"/>
      <c r="O114" s="70"/>
      <c r="P114" s="70"/>
      <c r="Q114" s="70"/>
      <c r="R114" s="218"/>
      <c r="S114" s="218"/>
      <c r="T114" s="217" t="str">
        <f t="shared" ca="1" si="24"/>
        <v>B.3.08</v>
      </c>
      <c r="U114" s="218"/>
      <c r="V114" s="218"/>
      <c r="W114" s="81">
        <v>3</v>
      </c>
      <c r="X114" s="87">
        <f t="shared" ca="1" si="25"/>
        <v>3</v>
      </c>
      <c r="Y114" s="211" t="str">
        <f t="shared" si="19"/>
        <v>x 3</v>
      </c>
      <c r="AI114" s="84"/>
    </row>
    <row r="115" spans="1:35" s="77" customFormat="1" ht="30" customHeight="1" x14ac:dyDescent="0.25">
      <c r="A115" s="68">
        <v>108</v>
      </c>
      <c r="B115" s="165" t="str">
        <f t="shared" ca="1" si="20"/>
        <v>B.4</v>
      </c>
      <c r="C115" s="20">
        <f t="shared" ca="1" si="21"/>
        <v>2</v>
      </c>
      <c r="D115" s="20"/>
      <c r="E115" s="199" t="str">
        <f t="shared" ca="1" si="22"/>
        <v>Step 4</v>
      </c>
      <c r="F115" s="202" t="str">
        <f t="shared" ca="1" si="23"/>
        <v>Establish a management assurance framework</v>
      </c>
      <c r="G115" s="202"/>
      <c r="H115" s="202"/>
      <c r="I115" s="202"/>
      <c r="J115" s="202"/>
      <c r="K115" s="202"/>
      <c r="L115" s="202"/>
      <c r="M115" s="202"/>
      <c r="N115" s="202"/>
      <c r="O115" s="202"/>
      <c r="P115" s="202"/>
      <c r="Q115" s="202"/>
      <c r="R115" s="215"/>
      <c r="S115" s="216"/>
      <c r="T115" s="217" t="str">
        <f t="shared" ca="1" si="24"/>
        <v>Step 4</v>
      </c>
      <c r="U115" s="216"/>
      <c r="V115" s="216"/>
      <c r="W115" s="81">
        <v>0</v>
      </c>
      <c r="X115" s="87">
        <f t="shared" ca="1" si="25"/>
        <v>0</v>
      </c>
      <c r="Y115" s="211" t="e">
        <f t="shared" si="19"/>
        <v>#N/A</v>
      </c>
      <c r="AI115" s="84"/>
    </row>
    <row r="116" spans="1:35" s="77" customFormat="1" ht="45" x14ac:dyDescent="0.25">
      <c r="A116" s="68">
        <v>109</v>
      </c>
      <c r="B116" s="165" t="str">
        <f t="shared" ca="1" si="20"/>
        <v>B.4.01</v>
      </c>
      <c r="C116" s="20">
        <f t="shared" ca="1" si="21"/>
        <v>5</v>
      </c>
      <c r="D116" s="20"/>
      <c r="E116" s="71" t="str">
        <f t="shared" ca="1" si="22"/>
        <v>B.4.01</v>
      </c>
      <c r="F116" s="72" t="str">
        <f t="shared" ca="1" si="23"/>
        <v>Are you aware that responsibility for the actual systems and data during penetration testing – and any assurance about them - rests with your organisation?</v>
      </c>
      <c r="G116" s="168"/>
      <c r="H116" s="169"/>
      <c r="I116" s="169"/>
      <c r="J116" s="169"/>
      <c r="K116" s="169"/>
      <c r="L116" s="169"/>
      <c r="M116" s="169"/>
      <c r="N116" s="70"/>
      <c r="O116" s="70"/>
      <c r="P116" s="70"/>
      <c r="Q116" s="70"/>
      <c r="R116" s="218"/>
      <c r="S116" s="218"/>
      <c r="T116" s="217" t="str">
        <f t="shared" ca="1" si="24"/>
        <v>B.4.01</v>
      </c>
      <c r="U116" s="218"/>
      <c r="V116" s="218"/>
      <c r="W116" s="81">
        <v>1</v>
      </c>
      <c r="X116" s="87">
        <f t="shared" ca="1" si="25"/>
        <v>1</v>
      </c>
      <c r="Y116" s="211" t="str">
        <f t="shared" si="19"/>
        <v>x 1</v>
      </c>
      <c r="AI116" s="84"/>
    </row>
    <row r="117" spans="1:35" s="77" customFormat="1" ht="30" customHeight="1" x14ac:dyDescent="0.25">
      <c r="A117" s="68">
        <v>110</v>
      </c>
      <c r="B117" s="165" t="str">
        <f t="shared" ca="1" si="20"/>
        <v>B.4.02</v>
      </c>
      <c r="C117" s="20">
        <f t="shared" ca="1" si="21"/>
        <v>5</v>
      </c>
      <c r="D117" s="20"/>
      <c r="E117" s="71" t="str">
        <f t="shared" ca="1" si="22"/>
        <v>B.4.02</v>
      </c>
      <c r="F117" s="72" t="str">
        <f t="shared" ca="1" si="23"/>
        <v>Have you created a documented management assurance framework to help manage all aspects of penetration tests?</v>
      </c>
      <c r="G117" s="168"/>
      <c r="H117" s="169"/>
      <c r="I117" s="169"/>
      <c r="J117" s="169"/>
      <c r="K117" s="169"/>
      <c r="L117" s="169"/>
      <c r="M117" s="169"/>
      <c r="N117" s="70"/>
      <c r="O117" s="70"/>
      <c r="P117" s="70"/>
      <c r="Q117" s="70"/>
      <c r="R117" s="218"/>
      <c r="S117" s="218"/>
      <c r="T117" s="217" t="str">
        <f t="shared" ca="1" si="24"/>
        <v>B.4.02</v>
      </c>
      <c r="U117" s="218"/>
      <c r="V117" s="218"/>
      <c r="W117" s="81">
        <v>2</v>
      </c>
      <c r="X117" s="87">
        <f t="shared" ca="1" si="25"/>
        <v>2</v>
      </c>
      <c r="Y117" s="211" t="str">
        <f t="shared" si="19"/>
        <v>x 2</v>
      </c>
      <c r="AI117" s="84"/>
    </row>
    <row r="118" spans="1:35" s="77" customFormat="1" ht="45" x14ac:dyDescent="0.25">
      <c r="A118" s="68">
        <v>111</v>
      </c>
      <c r="B118" s="165" t="str">
        <f t="shared" ca="1" si="20"/>
        <v>B.4.03</v>
      </c>
      <c r="C118" s="20">
        <f t="shared" ca="1" si="21"/>
        <v>5</v>
      </c>
      <c r="D118" s="20"/>
      <c r="E118" s="71" t="str">
        <f t="shared" ca="1" si="22"/>
        <v>B.4.03</v>
      </c>
      <c r="F118" s="72" t="str">
        <f t="shared" ca="1" si="23"/>
        <v>Does your management assurance framework provide assurance to stakeholders that the objectives of penetration tests are achieved (i.e. business requirements are met)?</v>
      </c>
      <c r="G118" s="168"/>
      <c r="H118" s="169"/>
      <c r="I118" s="169"/>
      <c r="J118" s="169"/>
      <c r="K118" s="169"/>
      <c r="L118" s="169"/>
      <c r="M118" s="169"/>
      <c r="N118" s="70"/>
      <c r="O118" s="70"/>
      <c r="P118" s="70"/>
      <c r="Q118" s="70"/>
      <c r="R118" s="218"/>
      <c r="S118" s="218"/>
      <c r="T118" s="217" t="str">
        <f t="shared" ca="1" si="24"/>
        <v>B.4.03</v>
      </c>
      <c r="U118" s="218"/>
      <c r="V118" s="218"/>
      <c r="W118" s="81">
        <v>5</v>
      </c>
      <c r="X118" s="87">
        <f t="shared" ca="1" si="25"/>
        <v>5</v>
      </c>
      <c r="Y118" s="211" t="str">
        <f t="shared" si="19"/>
        <v>x 5</v>
      </c>
      <c r="AI118" s="84"/>
    </row>
    <row r="119" spans="1:35" s="77" customFormat="1" ht="75" x14ac:dyDescent="0.25">
      <c r="A119" s="68">
        <v>112</v>
      </c>
      <c r="B119" s="165" t="str">
        <f t="shared" ca="1" si="20"/>
        <v/>
      </c>
      <c r="C119" s="20">
        <f t="shared" ca="1" si="21"/>
        <v>3</v>
      </c>
      <c r="D119" s="20"/>
      <c r="E119" s="71" t="str">
        <f t="shared" ca="1" si="22"/>
        <v/>
      </c>
      <c r="F119" s="166" t="str">
        <f t="shared" ca="1" si="23"/>
        <v>The management assurance framework should provide assurance to stakeholders that contracts with service providers are defined, agreed, signed off and monitored and risks to your organisation (e.g. degradation or loss of services; disclosure of sensitive information) are kept to a minimum.</v>
      </c>
      <c r="G119" s="168"/>
      <c r="H119" s="169"/>
      <c r="I119" s="169"/>
      <c r="J119" s="169"/>
      <c r="K119" s="169"/>
      <c r="L119" s="169"/>
      <c r="M119" s="169"/>
      <c r="N119" s="70"/>
      <c r="O119" s="70"/>
      <c r="P119" s="70"/>
      <c r="Q119" s="70"/>
      <c r="R119" s="218"/>
      <c r="S119" s="218"/>
      <c r="T119" s="217" t="str">
        <f t="shared" ca="1" si="24"/>
        <v/>
      </c>
      <c r="U119" s="218"/>
      <c r="V119" s="218"/>
      <c r="W119" s="80">
        <v>0</v>
      </c>
      <c r="X119" s="87">
        <f t="shared" ca="1" si="25"/>
        <v>0</v>
      </c>
      <c r="Y119" s="211" t="e">
        <f t="shared" si="19"/>
        <v>#N/A</v>
      </c>
      <c r="AH119" s="70"/>
      <c r="AI119" s="84"/>
    </row>
    <row r="120" spans="1:35" s="77" customFormat="1" ht="45" x14ac:dyDescent="0.25">
      <c r="A120" s="68">
        <v>113</v>
      </c>
      <c r="B120" s="165" t="str">
        <f t="shared" ca="1" si="20"/>
        <v>B.4.04</v>
      </c>
      <c r="C120" s="20">
        <f t="shared" ca="1" si="21"/>
        <v>5</v>
      </c>
      <c r="D120" s="20"/>
      <c r="E120" s="71" t="str">
        <f t="shared" ca="1" si="22"/>
        <v>B.4.04</v>
      </c>
      <c r="F120" s="72" t="str">
        <f t="shared" ca="1" si="23"/>
        <v>Does your management assurance framework provide assurance to stakeholders that changes to the scope of tests – and any problems arising - are well managed?</v>
      </c>
      <c r="G120" s="168"/>
      <c r="H120" s="169"/>
      <c r="I120" s="169"/>
      <c r="J120" s="169"/>
      <c r="K120" s="169"/>
      <c r="L120" s="169"/>
      <c r="M120" s="169"/>
      <c r="N120" s="70"/>
      <c r="O120" s="70"/>
      <c r="P120" s="70"/>
      <c r="Q120" s="70"/>
      <c r="R120" s="218"/>
      <c r="S120" s="218"/>
      <c r="T120" s="217" t="str">
        <f t="shared" ca="1" si="24"/>
        <v>B.4.04</v>
      </c>
      <c r="U120" s="218"/>
      <c r="V120" s="218"/>
      <c r="W120" s="81">
        <v>4</v>
      </c>
      <c r="X120" s="87">
        <f t="shared" ca="1" si="25"/>
        <v>4</v>
      </c>
      <c r="Y120" s="211" t="str">
        <f t="shared" si="19"/>
        <v>x 4</v>
      </c>
      <c r="AI120" s="84"/>
    </row>
    <row r="121" spans="1:35" s="77" customFormat="1" ht="120" x14ac:dyDescent="0.25">
      <c r="A121" s="68">
        <v>114</v>
      </c>
      <c r="B121" s="165" t="str">
        <f t="shared" ca="1" si="20"/>
        <v/>
      </c>
      <c r="C121" s="20">
        <f t="shared" ca="1" si="21"/>
        <v>3</v>
      </c>
      <c r="D121" s="20"/>
      <c r="E121" s="71" t="str">
        <f t="shared" ca="1" si="22"/>
        <v/>
      </c>
      <c r="F121" s="166" t="str">
        <f t="shared" ca="1" si="23"/>
        <v>The management assurance framework should provide assurance to stakeholders that any changes to the scope of penetration tests (e.g. additional testing requested, such as to include wireless or device testing) or to organisational controls (e.g. to address a critical weakness uncovered during testing) are managed quickly and efficiently; and that any problems (or complaints) arising during tests (e.g. due to resources not being made available, tests not working as planned or an ethical breach) are satisfactorily resolved.</v>
      </c>
      <c r="G121" s="168"/>
      <c r="H121" s="169"/>
      <c r="I121" s="169"/>
      <c r="J121" s="169"/>
      <c r="K121" s="169"/>
      <c r="L121" s="169"/>
      <c r="M121" s="169"/>
      <c r="N121" s="70"/>
      <c r="O121" s="70"/>
      <c r="P121" s="70"/>
      <c r="Q121" s="70"/>
      <c r="R121" s="218"/>
      <c r="S121" s="218"/>
      <c r="T121" s="217" t="str">
        <f t="shared" ca="1" si="24"/>
        <v/>
      </c>
      <c r="U121" s="218"/>
      <c r="V121" s="218"/>
      <c r="W121" s="80">
        <v>0</v>
      </c>
      <c r="X121" s="87">
        <f t="shared" ca="1" si="25"/>
        <v>0</v>
      </c>
      <c r="Y121" s="211" t="e">
        <f t="shared" si="19"/>
        <v>#N/A</v>
      </c>
      <c r="AH121" s="70"/>
      <c r="AI121" s="84"/>
    </row>
    <row r="122" spans="1:35" s="77" customFormat="1" ht="30" customHeight="1" x14ac:dyDescent="0.25">
      <c r="A122" s="68">
        <v>115</v>
      </c>
      <c r="B122" s="165" t="str">
        <f t="shared" ca="1" si="20"/>
        <v>B.4.05</v>
      </c>
      <c r="C122" s="20">
        <f t="shared" ca="1" si="21"/>
        <v>5</v>
      </c>
      <c r="D122" s="20"/>
      <c r="E122" s="71" t="str">
        <f t="shared" ca="1" si="22"/>
        <v>B.4.05</v>
      </c>
      <c r="F122" s="72" t="str">
        <f t="shared" ca="1" si="23"/>
        <v>Have you established an assurance process to ensure that the penetration testing process meets requirements?</v>
      </c>
      <c r="G122" s="168"/>
      <c r="H122" s="169"/>
      <c r="I122" s="169"/>
      <c r="J122" s="169"/>
      <c r="K122" s="169"/>
      <c r="L122" s="169"/>
      <c r="M122" s="169"/>
      <c r="N122" s="70"/>
      <c r="O122" s="70"/>
      <c r="P122" s="70"/>
      <c r="Q122" s="70"/>
      <c r="R122" s="218"/>
      <c r="S122" s="218"/>
      <c r="T122" s="217" t="str">
        <f t="shared" ca="1" si="24"/>
        <v>B.4.05</v>
      </c>
      <c r="U122" s="218"/>
      <c r="V122" s="218"/>
      <c r="W122" s="81">
        <v>1</v>
      </c>
      <c r="X122" s="87">
        <f t="shared" ca="1" si="25"/>
        <v>1</v>
      </c>
      <c r="Y122" s="211" t="str">
        <f t="shared" si="19"/>
        <v>x 1</v>
      </c>
      <c r="AI122" s="84"/>
    </row>
    <row r="123" spans="1:35" s="77" customFormat="1" ht="45" x14ac:dyDescent="0.25">
      <c r="A123" s="68">
        <v>116</v>
      </c>
      <c r="B123" s="165" t="str">
        <f t="shared" ca="1" si="20"/>
        <v>B.4.06</v>
      </c>
      <c r="C123" s="20">
        <f t="shared" ca="1" si="21"/>
        <v>5</v>
      </c>
      <c r="D123" s="20"/>
      <c r="E123" s="71" t="str">
        <f t="shared" ca="1" si="22"/>
        <v>B.4.06</v>
      </c>
      <c r="F123" s="72" t="str">
        <f t="shared" ca="1" si="23"/>
        <v>Does your assurance process define control processes over all important management aspects of testing, including test administration; test execution, and data security?</v>
      </c>
      <c r="G123" s="168"/>
      <c r="H123" s="169"/>
      <c r="I123" s="169"/>
      <c r="J123" s="169"/>
      <c r="K123" s="169"/>
      <c r="L123" s="169"/>
      <c r="M123" s="169"/>
      <c r="N123" s="70"/>
      <c r="O123" s="70"/>
      <c r="P123" s="70"/>
      <c r="Q123" s="70"/>
      <c r="R123" s="218"/>
      <c r="S123" s="218"/>
      <c r="T123" s="217" t="str">
        <f t="shared" ca="1" si="24"/>
        <v>B.4.06</v>
      </c>
      <c r="U123" s="218"/>
      <c r="V123" s="218"/>
      <c r="W123" s="81">
        <v>5</v>
      </c>
      <c r="X123" s="87">
        <f t="shared" ca="1" si="25"/>
        <v>5</v>
      </c>
      <c r="Y123" s="211" t="str">
        <f t="shared" si="19"/>
        <v>x 5</v>
      </c>
      <c r="AI123" s="84"/>
    </row>
    <row r="124" spans="1:35" s="77" customFormat="1" ht="90" x14ac:dyDescent="0.25">
      <c r="A124" s="68">
        <v>117</v>
      </c>
      <c r="B124" s="165" t="str">
        <f t="shared" ca="1" si="20"/>
        <v/>
      </c>
      <c r="C124" s="20">
        <f t="shared" ca="1" si="21"/>
        <v>3</v>
      </c>
      <c r="D124" s="20"/>
      <c r="E124" s="71" t="str">
        <f t="shared" ca="1" si="22"/>
        <v/>
      </c>
      <c r="F124" s="166" t="str">
        <f t="shared" ca="1" si="23"/>
        <v>Test administration typically includes scope of tests, legal constraints, disclosure and reporting; test execution typically includes testing approach, separation of systems and duties, tool heritage, traceability and repeatability of tests; whilst data security typically includes secure storage, transmission, processing and destruction of critical or sensitive information provided or accessed during the test.</v>
      </c>
      <c r="G124" s="168"/>
      <c r="H124" s="169"/>
      <c r="I124" s="169"/>
      <c r="J124" s="169"/>
      <c r="K124" s="169"/>
      <c r="L124" s="169"/>
      <c r="M124" s="169"/>
      <c r="N124" s="70"/>
      <c r="O124" s="70"/>
      <c r="P124" s="70"/>
      <c r="Q124" s="70"/>
      <c r="R124" s="218"/>
      <c r="S124" s="218"/>
      <c r="T124" s="217" t="str">
        <f t="shared" ca="1" si="24"/>
        <v/>
      </c>
      <c r="U124" s="218"/>
      <c r="V124" s="218"/>
      <c r="W124" s="80">
        <v>0</v>
      </c>
      <c r="X124" s="87">
        <f t="shared" ca="1" si="25"/>
        <v>0</v>
      </c>
      <c r="Y124" s="211" t="e">
        <f t="shared" si="19"/>
        <v>#N/A</v>
      </c>
      <c r="AH124" s="70"/>
      <c r="AI124" s="84"/>
    </row>
    <row r="125" spans="1:35" s="77" customFormat="1" ht="30" customHeight="1" x14ac:dyDescent="0.25">
      <c r="A125" s="68">
        <v>118</v>
      </c>
      <c r="B125" s="165" t="str">
        <f t="shared" ca="1" si="20"/>
        <v>B.4.07</v>
      </c>
      <c r="C125" s="20">
        <f t="shared" ca="1" si="21"/>
        <v>5</v>
      </c>
      <c r="D125" s="20"/>
      <c r="E125" s="71" t="str">
        <f t="shared" ca="1" si="22"/>
        <v>B.4.07</v>
      </c>
      <c r="F125" s="72" t="str">
        <f t="shared" ca="1" si="23"/>
        <v>Is the scope of your penetration tests documented in an agreement, defined in a legally binding contact and signed off by all relevant parties before testing starts</v>
      </c>
      <c r="G125" s="168"/>
      <c r="H125" s="169"/>
      <c r="I125" s="169"/>
      <c r="J125" s="169"/>
      <c r="K125" s="169"/>
      <c r="L125" s="169"/>
      <c r="M125" s="169"/>
      <c r="N125" s="70"/>
      <c r="O125" s="70"/>
      <c r="P125" s="70"/>
      <c r="Q125" s="70"/>
      <c r="R125" s="218"/>
      <c r="S125" s="218"/>
      <c r="T125" s="217" t="str">
        <f t="shared" ca="1" si="24"/>
        <v>B.4.07</v>
      </c>
      <c r="U125" s="218"/>
      <c r="V125" s="218"/>
      <c r="W125" s="81">
        <v>1</v>
      </c>
      <c r="X125" s="87">
        <f t="shared" ca="1" si="25"/>
        <v>1</v>
      </c>
      <c r="Y125" s="211" t="str">
        <f t="shared" si="19"/>
        <v>x 1</v>
      </c>
      <c r="AI125" s="84"/>
    </row>
    <row r="126" spans="1:35" s="77" customFormat="1" ht="90" x14ac:dyDescent="0.25">
      <c r="A126" s="68">
        <v>119</v>
      </c>
      <c r="B126" s="165" t="str">
        <f t="shared" ca="1" si="20"/>
        <v/>
      </c>
      <c r="C126" s="20">
        <f t="shared" ca="1" si="21"/>
        <v>3</v>
      </c>
      <c r="D126" s="20"/>
      <c r="E126" s="71" t="str">
        <f t="shared" ca="1" si="22"/>
        <v/>
      </c>
      <c r="F126" s="166" t="str">
        <f t="shared" ca="1" si="23"/>
        <v>Penetration testing contracts should specify explicit exclusions (e.g. systems that are out of scope); any technical and operational constraints; roles and responsibilities for all parties’ concerned; and specific legal, regulatory and operational requirements (e.g., timings and checkpoints; a problem escalation process and post-test corrective action strategy).</v>
      </c>
      <c r="G126" s="168"/>
      <c r="H126" s="169"/>
      <c r="I126" s="169"/>
      <c r="J126" s="169"/>
      <c r="K126" s="169"/>
      <c r="L126" s="169"/>
      <c r="M126" s="169"/>
      <c r="N126" s="70"/>
      <c r="O126" s="70"/>
      <c r="P126" s="70"/>
      <c r="Q126" s="70"/>
      <c r="R126" s="218"/>
      <c r="S126" s="218"/>
      <c r="T126" s="217" t="str">
        <f t="shared" ca="1" si="24"/>
        <v/>
      </c>
      <c r="U126" s="218"/>
      <c r="V126" s="218"/>
      <c r="W126" s="80">
        <v>0</v>
      </c>
      <c r="X126" s="87">
        <f t="shared" ca="1" si="25"/>
        <v>0</v>
      </c>
      <c r="Y126" s="211" t="e">
        <f t="shared" si="19"/>
        <v>#N/A</v>
      </c>
      <c r="AH126" s="70"/>
      <c r="AI126" s="84"/>
    </row>
    <row r="127" spans="1:35" s="77" customFormat="1" ht="30" customHeight="1" x14ac:dyDescent="0.25">
      <c r="A127" s="68">
        <v>120</v>
      </c>
      <c r="B127" s="165" t="str">
        <f t="shared" ca="1" si="20"/>
        <v>B.5</v>
      </c>
      <c r="C127" s="20">
        <f t="shared" ca="1" si="21"/>
        <v>2</v>
      </c>
      <c r="D127" s="20"/>
      <c r="E127" s="199" t="str">
        <f t="shared" ca="1" si="22"/>
        <v>Step 5</v>
      </c>
      <c r="F127" s="202" t="str">
        <f t="shared" ca="1" si="23"/>
        <v>Implement management control processes</v>
      </c>
      <c r="G127" s="202"/>
      <c r="H127" s="202"/>
      <c r="I127" s="202"/>
      <c r="J127" s="202"/>
      <c r="K127" s="202"/>
      <c r="L127" s="202"/>
      <c r="M127" s="202"/>
      <c r="N127" s="202"/>
      <c r="O127" s="202"/>
      <c r="P127" s="202"/>
      <c r="Q127" s="202"/>
      <c r="R127" s="215"/>
      <c r="S127" s="216"/>
      <c r="T127" s="217" t="str">
        <f t="shared" ca="1" si="24"/>
        <v>Step 5</v>
      </c>
      <c r="U127" s="216"/>
      <c r="V127" s="216"/>
      <c r="W127" s="81">
        <v>0</v>
      </c>
      <c r="X127" s="87">
        <f t="shared" ca="1" si="25"/>
        <v>0</v>
      </c>
      <c r="Y127" s="211" t="e">
        <f t="shared" si="19"/>
        <v>#N/A</v>
      </c>
      <c r="AI127" s="84"/>
    </row>
    <row r="128" spans="1:35" s="77" customFormat="1" ht="60" x14ac:dyDescent="0.25">
      <c r="A128" s="68">
        <v>121</v>
      </c>
      <c r="B128" s="165" t="str">
        <f t="shared" ca="1" si="20"/>
        <v>B.5.01</v>
      </c>
      <c r="C128" s="20">
        <f t="shared" ca="1" si="21"/>
        <v>5</v>
      </c>
      <c r="D128" s="20"/>
      <c r="E128" s="71" t="str">
        <f t="shared" ca="1" si="22"/>
        <v>B.5.01</v>
      </c>
      <c r="F128" s="72" t="str">
        <f t="shared" ca="1" si="23"/>
        <v>Is your organisation aware that performing any sort of penetration test carries with it some risk to the target system and the business information associated with it (e.g. degradation or loss of services; disclosure of sensitive information)?</v>
      </c>
      <c r="G128" s="168"/>
      <c r="H128" s="169"/>
      <c r="I128" s="169"/>
      <c r="J128" s="169"/>
      <c r="K128" s="169"/>
      <c r="L128" s="169"/>
      <c r="M128" s="169"/>
      <c r="N128" s="70"/>
      <c r="O128" s="70"/>
      <c r="P128" s="70"/>
      <c r="Q128" s="70"/>
      <c r="R128" s="218"/>
      <c r="S128" s="218"/>
      <c r="T128" s="217" t="str">
        <f t="shared" ca="1" si="24"/>
        <v>B.5.01</v>
      </c>
      <c r="U128" s="218"/>
      <c r="V128" s="218"/>
      <c r="W128" s="81">
        <v>1</v>
      </c>
      <c r="X128" s="87">
        <f t="shared" ca="1" si="25"/>
        <v>1</v>
      </c>
      <c r="Y128" s="211" t="str">
        <f t="shared" si="19"/>
        <v>x 1</v>
      </c>
      <c r="AI128" s="84"/>
    </row>
    <row r="129" spans="1:35" s="77" customFormat="1" ht="30" customHeight="1" x14ac:dyDescent="0.25">
      <c r="A129" s="68">
        <v>122</v>
      </c>
      <c r="B129" s="165" t="str">
        <f t="shared" ca="1" si="20"/>
        <v>B.5.02</v>
      </c>
      <c r="C129" s="20">
        <f t="shared" ca="1" si="21"/>
        <v>5</v>
      </c>
      <c r="D129" s="20"/>
      <c r="E129" s="71" t="str">
        <f t="shared" ca="1" si="22"/>
        <v>B.5.02</v>
      </c>
      <c r="F129" s="72" t="str">
        <f t="shared" ca="1" si="23"/>
        <v>Have you developed methods of keeping risks to your organisation to a minimum?</v>
      </c>
      <c r="G129" s="168"/>
      <c r="H129" s="169"/>
      <c r="I129" s="169"/>
      <c r="J129" s="169"/>
      <c r="K129" s="169"/>
      <c r="L129" s="169"/>
      <c r="M129" s="169"/>
      <c r="N129" s="70"/>
      <c r="O129" s="70"/>
      <c r="P129" s="70"/>
      <c r="Q129" s="70"/>
      <c r="R129" s="218"/>
      <c r="S129" s="218"/>
      <c r="T129" s="217" t="str">
        <f t="shared" ca="1" si="24"/>
        <v>B.5.02</v>
      </c>
      <c r="U129" s="218"/>
      <c r="V129" s="218"/>
      <c r="W129" s="81">
        <v>4</v>
      </c>
      <c r="X129" s="87">
        <f t="shared" ca="1" si="25"/>
        <v>4</v>
      </c>
      <c r="Y129" s="211" t="str">
        <f t="shared" si="19"/>
        <v>x 4</v>
      </c>
      <c r="AI129" s="84"/>
    </row>
    <row r="130" spans="1:35" s="77" customFormat="1" ht="60" x14ac:dyDescent="0.25">
      <c r="A130" s="68">
        <v>123</v>
      </c>
      <c r="B130" s="165" t="str">
        <f t="shared" ca="1" si="20"/>
        <v/>
      </c>
      <c r="C130" s="20">
        <f t="shared" ca="1" si="21"/>
        <v>3</v>
      </c>
      <c r="D130" s="20"/>
      <c r="E130" s="71" t="str">
        <f t="shared" ca="1" si="22"/>
        <v/>
      </c>
      <c r="F130" s="166" t="str">
        <f t="shared" ca="1" si="23"/>
        <v>You can help to reduce risk associated with penetration testing by carrying out planning in advance; having a clear definition of scope; using predefined escalation procedures; supported by qualified testing individuals and certified organisations.</v>
      </c>
      <c r="G130" s="168"/>
      <c r="H130" s="169"/>
      <c r="I130" s="169"/>
      <c r="J130" s="169"/>
      <c r="K130" s="169"/>
      <c r="L130" s="169"/>
      <c r="M130" s="169"/>
      <c r="N130" s="70"/>
      <c r="O130" s="70"/>
      <c r="P130" s="70"/>
      <c r="Q130" s="70"/>
      <c r="R130" s="218"/>
      <c r="S130" s="218"/>
      <c r="T130" s="217" t="str">
        <f t="shared" ca="1" si="24"/>
        <v/>
      </c>
      <c r="U130" s="218"/>
      <c r="V130" s="218"/>
      <c r="W130" s="80">
        <v>0</v>
      </c>
      <c r="X130" s="87">
        <f t="shared" ca="1" si="25"/>
        <v>0</v>
      </c>
      <c r="Y130" s="211" t="e">
        <f t="shared" si="19"/>
        <v>#N/A</v>
      </c>
      <c r="AH130" s="70"/>
      <c r="AI130" s="84"/>
    </row>
    <row r="131" spans="1:35" s="77" customFormat="1" ht="75" x14ac:dyDescent="0.25">
      <c r="A131" s="68">
        <v>124</v>
      </c>
      <c r="B131" s="165" t="str">
        <f t="shared" ca="1" si="20"/>
        <v>B.5.03</v>
      </c>
      <c r="C131" s="20">
        <f t="shared" ca="1" si="21"/>
        <v>5</v>
      </c>
      <c r="D131" s="20"/>
      <c r="E131" s="71" t="str">
        <f t="shared" ca="1" si="22"/>
        <v>B.5.03</v>
      </c>
      <c r="F131" s="72" t="str">
        <f t="shared" ca="1" si="23"/>
        <v>When conducting penetration tests, do you ensure that those individuals responsible for the running of the target systems have full knowledge of the tests to help protect against unexpected business consequences, such an inadvertent trigger of internal controls; and are aware of – and adhere to - any escalation procedures?</v>
      </c>
      <c r="G131" s="168"/>
      <c r="H131" s="169"/>
      <c r="I131" s="169"/>
      <c r="J131" s="169"/>
      <c r="K131" s="169"/>
      <c r="L131" s="169"/>
      <c r="M131" s="169"/>
      <c r="N131" s="70"/>
      <c r="O131" s="70"/>
      <c r="P131" s="70"/>
      <c r="Q131" s="70"/>
      <c r="R131" s="218"/>
      <c r="S131" s="218"/>
      <c r="T131" s="217" t="str">
        <f t="shared" ca="1" si="24"/>
        <v>B.5.03</v>
      </c>
      <c r="U131" s="218"/>
      <c r="V131" s="218"/>
      <c r="W131" s="81">
        <v>3</v>
      </c>
      <c r="X131" s="87">
        <f t="shared" ca="1" si="25"/>
        <v>3</v>
      </c>
      <c r="Y131" s="211" t="str">
        <f t="shared" si="19"/>
        <v>x 3</v>
      </c>
      <c r="AI131" s="84"/>
    </row>
    <row r="132" spans="1:35" s="77" customFormat="1" ht="60" x14ac:dyDescent="0.25">
      <c r="A132" s="68">
        <v>125</v>
      </c>
      <c r="B132" s="165" t="str">
        <f t="shared" ca="1" si="20"/>
        <v>B.5.04</v>
      </c>
      <c r="C132" s="20">
        <f t="shared" ca="1" si="21"/>
        <v>5</v>
      </c>
      <c r="D132" s="20"/>
      <c r="E132" s="71" t="str">
        <f t="shared" ca="1" si="22"/>
        <v>B.5.04</v>
      </c>
      <c r="F132" s="72" t="str">
        <f t="shared" ca="1" si="23"/>
        <v>Are individuals responsible for the running of the target systems available, as required, during the test period to help: ensure that testing takes place as agreed; keep risks within acceptable boundaries; deal with any problems arising; and manage issues that have been escalated?</v>
      </c>
      <c r="G132" s="168"/>
      <c r="H132" s="169"/>
      <c r="I132" s="169"/>
      <c r="J132" s="169"/>
      <c r="K132" s="169"/>
      <c r="L132" s="169"/>
      <c r="M132" s="169"/>
      <c r="N132" s="70"/>
      <c r="O132" s="70"/>
      <c r="P132" s="70"/>
      <c r="Q132" s="70"/>
      <c r="R132" s="218"/>
      <c r="S132" s="218"/>
      <c r="T132" s="217" t="str">
        <f t="shared" ca="1" si="24"/>
        <v>B.5.04</v>
      </c>
      <c r="U132" s="218"/>
      <c r="V132" s="218"/>
      <c r="W132" s="81">
        <v>3</v>
      </c>
      <c r="X132" s="87">
        <f t="shared" ca="1" si="25"/>
        <v>3</v>
      </c>
      <c r="Y132" s="211" t="str">
        <f t="shared" si="19"/>
        <v>x 3</v>
      </c>
      <c r="AI132" s="84"/>
    </row>
    <row r="133" spans="1:35" s="77" customFormat="1" ht="30" customHeight="1" x14ac:dyDescent="0.25">
      <c r="A133" s="68">
        <v>126</v>
      </c>
      <c r="B133" s="165" t="str">
        <f t="shared" ca="1" si="20"/>
        <v>B.5.05</v>
      </c>
      <c r="C133" s="20">
        <f t="shared" ca="1" si="21"/>
        <v>5</v>
      </c>
      <c r="D133" s="20"/>
      <c r="E133" s="71" t="str">
        <f t="shared" ca="1" si="22"/>
        <v>B.5.05</v>
      </c>
      <c r="F133" s="72" t="str">
        <f t="shared" ca="1" si="23"/>
        <v>Is your penetration testing supported by a change management process?</v>
      </c>
      <c r="G133" s="168"/>
      <c r="H133" s="169"/>
      <c r="I133" s="169"/>
      <c r="J133" s="169"/>
      <c r="K133" s="169"/>
      <c r="L133" s="169"/>
      <c r="M133" s="169"/>
      <c r="N133" s="70"/>
      <c r="O133" s="70"/>
      <c r="P133" s="70"/>
      <c r="Q133" s="70"/>
      <c r="R133" s="218"/>
      <c r="S133" s="218"/>
      <c r="T133" s="217" t="str">
        <f t="shared" ca="1" si="24"/>
        <v>B.5.05</v>
      </c>
      <c r="U133" s="218"/>
      <c r="V133" s="218"/>
      <c r="W133" s="81">
        <v>2</v>
      </c>
      <c r="X133" s="87">
        <f t="shared" ca="1" si="25"/>
        <v>2</v>
      </c>
      <c r="Y133" s="211" t="str">
        <f t="shared" si="19"/>
        <v>x 2</v>
      </c>
      <c r="AI133" s="84"/>
    </row>
    <row r="134" spans="1:35" s="77" customFormat="1" ht="75" x14ac:dyDescent="0.25">
      <c r="A134" s="68">
        <v>127</v>
      </c>
      <c r="B134" s="165" t="str">
        <f t="shared" ca="1" si="20"/>
        <v/>
      </c>
      <c r="C134" s="20">
        <f t="shared" ca="1" si="21"/>
        <v>3</v>
      </c>
      <c r="D134" s="20"/>
      <c r="E134" s="71" t="str">
        <f t="shared" ca="1" si="22"/>
        <v/>
      </c>
      <c r="F134" s="166" t="str">
        <f t="shared" ca="1" si="23"/>
        <v>An effective change management process should cover changes to the scope of the penetration test, organisational controls and the individuals on the testing team; as well as ensuring that all parties involved adhere to the process and that changes to penetration testing are made quickly and efficiently.</v>
      </c>
      <c r="G134" s="168"/>
      <c r="H134" s="169"/>
      <c r="I134" s="169"/>
      <c r="J134" s="169"/>
      <c r="K134" s="169"/>
      <c r="L134" s="169"/>
      <c r="M134" s="169"/>
      <c r="N134" s="70"/>
      <c r="O134" s="70"/>
      <c r="P134" s="70"/>
      <c r="Q134" s="70"/>
      <c r="R134" s="218"/>
      <c r="S134" s="218"/>
      <c r="T134" s="217" t="str">
        <f t="shared" ref="T134" ca="1" si="26">E134</f>
        <v/>
      </c>
      <c r="U134" s="218"/>
      <c r="V134" s="218"/>
      <c r="W134" s="80">
        <v>0</v>
      </c>
      <c r="X134" s="87">
        <f t="shared" ca="1" si="25"/>
        <v>0</v>
      </c>
      <c r="Y134" s="211" t="e">
        <f t="shared" ref="Y134" si="27">VLOOKUP(W134,weighting_response_reverse,2,FALSE)</f>
        <v>#N/A</v>
      </c>
      <c r="AI134" s="84"/>
    </row>
    <row r="135" spans="1:35" s="77" customFormat="1" ht="30" x14ac:dyDescent="0.25">
      <c r="A135" s="68">
        <v>128</v>
      </c>
      <c r="B135" s="165" t="str">
        <f t="shared" ca="1" si="20"/>
        <v>B.5.06</v>
      </c>
      <c r="C135" s="20">
        <f t="shared" ca="1" si="21"/>
        <v>5</v>
      </c>
      <c r="D135" s="20"/>
      <c r="E135" s="71" t="str">
        <f t="shared" ca="1" si="22"/>
        <v>B.5.06</v>
      </c>
      <c r="F135" s="72" t="str">
        <f t="shared" ca="1" si="23"/>
        <v>Is your penetration testing supported by an effective problem resolution process?</v>
      </c>
      <c r="G135" s="168"/>
      <c r="H135" s="169"/>
      <c r="I135" s="169"/>
      <c r="J135" s="169"/>
      <c r="K135" s="169"/>
      <c r="L135" s="169"/>
      <c r="M135" s="169"/>
      <c r="N135" s="70"/>
      <c r="O135" s="70"/>
      <c r="P135" s="70"/>
      <c r="Q135" s="70"/>
      <c r="R135" s="218"/>
      <c r="S135" s="218"/>
      <c r="T135" s="217" t="str">
        <f t="shared" ca="1" si="24"/>
        <v>B.5.06</v>
      </c>
      <c r="U135" s="218"/>
      <c r="V135" s="218"/>
      <c r="W135" s="81">
        <v>3</v>
      </c>
      <c r="X135" s="87">
        <f t="shared" ca="1" si="25"/>
        <v>3</v>
      </c>
      <c r="Y135" s="211" t="str">
        <f t="shared" si="19"/>
        <v>x 3</v>
      </c>
      <c r="AI135" s="84"/>
    </row>
    <row r="136" spans="1:35" s="77" customFormat="1" ht="30" customHeight="1" x14ac:dyDescent="0.25">
      <c r="A136" s="68">
        <v>129</v>
      </c>
      <c r="B136" s="165" t="str">
        <f t="shared" ref="B136:B167" ca="1" si="28">VLOOKUP(A136,Contents_Text,2,FALSE)</f>
        <v/>
      </c>
      <c r="C136" s="20">
        <f t="shared" ref="C136:C167" ca="1" si="29">VLOOKUP(A136,Contents_Text,15,FALSE)</f>
        <v>3</v>
      </c>
      <c r="D136" s="20"/>
      <c r="E136" s="71" t="str">
        <f t="shared" ref="E136:E167" ca="1" si="30">IF(C136=1,"Stage "&amp;B136,IF(C136=2,"Step "&amp;VLOOKUP(A136,Contents_Text,4,FALSE),B136))</f>
        <v/>
      </c>
      <c r="F136" s="166" t="str">
        <f t="shared" ref="F136:F167" ca="1" si="31">VLOOKUP(A136,Contents_Text,7,FALSE)</f>
        <v>An effective problem resolution process should cover tests not working as planned and resources not being made available; as well as problems caused as a result of the penetration testing, which can include: interruptions to or degradation of live systems; unauthorised disclosure of confidential information; and compromise of the integrity of information (e.g. affecting the accuracy or timeliness of information).
The problem resolution process should also include breaches of: contract; specifications in the scope statement; and a relevant code of conduct.</v>
      </c>
      <c r="G136" s="168"/>
      <c r="H136" s="169"/>
      <c r="I136" s="169"/>
      <c r="J136" s="169"/>
      <c r="K136" s="169"/>
      <c r="L136" s="169"/>
      <c r="M136" s="169"/>
      <c r="N136" s="70"/>
      <c r="O136" s="70"/>
      <c r="P136" s="70"/>
      <c r="Q136" s="70"/>
      <c r="R136" s="218"/>
      <c r="S136" s="218"/>
      <c r="T136" s="217" t="str">
        <f t="shared" ref="T136" ca="1" si="32">E136</f>
        <v/>
      </c>
      <c r="U136" s="218"/>
      <c r="V136" s="218"/>
      <c r="W136" s="80">
        <v>0</v>
      </c>
      <c r="X136" s="87">
        <f t="shared" ref="X136:X167" ca="1" si="33">VLOOKUP(A136,Contents_Text,8,FALSE)</f>
        <v>0</v>
      </c>
      <c r="Y136" s="211" t="e">
        <f t="shared" ref="Y136" si="34">VLOOKUP(W136,weighting_response_reverse,2,FALSE)</f>
        <v>#N/A</v>
      </c>
      <c r="AI136" s="84"/>
    </row>
    <row r="137" spans="1:35" s="77" customFormat="1" ht="30" customHeight="1" x14ac:dyDescent="0.25">
      <c r="A137" s="68">
        <v>130</v>
      </c>
      <c r="B137" s="165" t="str">
        <f t="shared" ca="1" si="28"/>
        <v>B.5.07</v>
      </c>
      <c r="C137" s="20">
        <f t="shared" ca="1" si="29"/>
        <v>5</v>
      </c>
      <c r="D137" s="20"/>
      <c r="E137" s="71" t="str">
        <f t="shared" ca="1" si="30"/>
        <v>B.5.07</v>
      </c>
      <c r="F137" s="72" t="str">
        <f t="shared" ca="1" si="31"/>
        <v>Are problems arising during penetration testing resolved in an effective, timely manner in accordance with your problem management process?</v>
      </c>
      <c r="G137" s="168"/>
      <c r="H137" s="169"/>
      <c r="I137" s="169"/>
      <c r="J137" s="169"/>
      <c r="K137" s="169"/>
      <c r="L137" s="169"/>
      <c r="M137" s="169"/>
      <c r="N137" s="70"/>
      <c r="O137" s="70"/>
      <c r="P137" s="70"/>
      <c r="Q137" s="70"/>
      <c r="R137" s="218"/>
      <c r="S137" s="218"/>
      <c r="T137" s="217" t="str">
        <f t="shared" ref="T137:T163" ca="1" si="35">E137</f>
        <v>B.5.07</v>
      </c>
      <c r="U137" s="218"/>
      <c r="V137" s="218"/>
      <c r="W137" s="81">
        <v>4</v>
      </c>
      <c r="X137" s="87">
        <f t="shared" ca="1" si="33"/>
        <v>2</v>
      </c>
      <c r="Y137" s="211" t="str">
        <f t="shared" ref="Y137:Y195" si="36">VLOOKUP(W137,weighting_response_reverse,2,FALSE)</f>
        <v>x 4</v>
      </c>
      <c r="AI137" s="84"/>
    </row>
    <row r="138" spans="1:35" s="77" customFormat="1" ht="30" customHeight="1" x14ac:dyDescent="0.25">
      <c r="A138" s="68">
        <v>135</v>
      </c>
      <c r="B138" s="165" t="str">
        <f t="shared" ca="1" si="28"/>
        <v>B.6</v>
      </c>
      <c r="C138" s="20">
        <f t="shared" ca="1" si="29"/>
        <v>2</v>
      </c>
      <c r="D138" s="20"/>
      <c r="E138" s="199" t="str">
        <f t="shared" ca="1" si="30"/>
        <v>Step 6</v>
      </c>
      <c r="F138" s="202" t="str">
        <f t="shared" ca="1" si="31"/>
        <v>Use an effective testing methodology</v>
      </c>
      <c r="G138" s="202"/>
      <c r="H138" s="202"/>
      <c r="I138" s="202"/>
      <c r="J138" s="202"/>
      <c r="K138" s="202"/>
      <c r="L138" s="202"/>
      <c r="M138" s="202"/>
      <c r="N138" s="202"/>
      <c r="O138" s="202"/>
      <c r="P138" s="202"/>
      <c r="Q138" s="202"/>
      <c r="R138" s="215"/>
      <c r="S138" s="216"/>
      <c r="T138" s="217" t="str">
        <f t="shared" ca="1" si="35"/>
        <v>Step 6</v>
      </c>
      <c r="U138" s="216"/>
      <c r="V138" s="216"/>
      <c r="W138" s="81">
        <v>0</v>
      </c>
      <c r="X138" s="87">
        <f t="shared" ca="1" si="33"/>
        <v>0</v>
      </c>
      <c r="Y138" s="211" t="e">
        <f t="shared" si="36"/>
        <v>#N/A</v>
      </c>
      <c r="AI138" s="84"/>
    </row>
    <row r="139" spans="1:35" s="77" customFormat="1" ht="30" customHeight="1" x14ac:dyDescent="0.25">
      <c r="A139" s="68">
        <v>136</v>
      </c>
      <c r="B139" s="165" t="str">
        <f t="shared" ca="1" si="28"/>
        <v>B.6.01</v>
      </c>
      <c r="C139" s="20">
        <f t="shared" ca="1" si="29"/>
        <v>5</v>
      </c>
      <c r="D139" s="20"/>
      <c r="E139" s="71" t="str">
        <f t="shared" ca="1" si="30"/>
        <v>B.6.01</v>
      </c>
      <c r="F139" s="72" t="str">
        <f t="shared" ca="1" si="31"/>
        <v>When conducting penetration tests do you use a systematic, structured testing methodology?</v>
      </c>
      <c r="G139" s="168"/>
      <c r="H139" s="169"/>
      <c r="I139" s="169"/>
      <c r="J139" s="169"/>
      <c r="K139" s="169"/>
      <c r="L139" s="169"/>
      <c r="M139" s="169"/>
      <c r="N139" s="70"/>
      <c r="O139" s="70"/>
      <c r="P139" s="70"/>
      <c r="Q139" s="70"/>
      <c r="R139" s="218"/>
      <c r="S139" s="218"/>
      <c r="T139" s="217" t="str">
        <f t="shared" ca="1" si="35"/>
        <v>B.6.01</v>
      </c>
      <c r="U139" s="218"/>
      <c r="V139" s="218"/>
      <c r="W139" s="81">
        <v>1</v>
      </c>
      <c r="X139" s="87">
        <f t="shared" ca="1" si="33"/>
        <v>1</v>
      </c>
      <c r="Y139" s="211" t="str">
        <f t="shared" si="36"/>
        <v>x 1</v>
      </c>
      <c r="AI139" s="84"/>
    </row>
    <row r="140" spans="1:35" s="77" customFormat="1" ht="30" customHeight="1" x14ac:dyDescent="0.25">
      <c r="A140" s="68">
        <v>137</v>
      </c>
      <c r="B140" s="165" t="str">
        <f t="shared" ca="1" si="28"/>
        <v>B.6.02</v>
      </c>
      <c r="C140" s="20">
        <f t="shared" ca="1" si="29"/>
        <v>5</v>
      </c>
      <c r="D140" s="20"/>
      <c r="E140" s="71" t="str">
        <f t="shared" ca="1" si="30"/>
        <v>B.6.02</v>
      </c>
      <c r="F140" s="72" t="str">
        <f t="shared" ca="1" si="31"/>
        <v>Is your penetration testing methodology based on proven approaches designed by authoritative publicly available sources?</v>
      </c>
      <c r="G140" s="168"/>
      <c r="H140" s="169"/>
      <c r="I140" s="169"/>
      <c r="J140" s="169"/>
      <c r="K140" s="169"/>
      <c r="L140" s="169"/>
      <c r="M140" s="169"/>
      <c r="N140" s="70"/>
      <c r="O140" s="70"/>
      <c r="P140" s="70"/>
      <c r="Q140" s="70"/>
      <c r="R140" s="218"/>
      <c r="S140" s="218"/>
      <c r="T140" s="217" t="str">
        <f t="shared" ca="1" si="35"/>
        <v>B.6.02</v>
      </c>
      <c r="U140" s="218"/>
      <c r="V140" s="218"/>
      <c r="W140" s="81">
        <v>2</v>
      </c>
      <c r="X140" s="87">
        <f t="shared" ca="1" si="33"/>
        <v>2</v>
      </c>
      <c r="Y140" s="211" t="str">
        <f t="shared" si="36"/>
        <v>x 2</v>
      </c>
      <c r="AI140" s="84"/>
    </row>
    <row r="141" spans="1:35" s="77" customFormat="1" ht="60" x14ac:dyDescent="0.25">
      <c r="A141" s="68">
        <v>138</v>
      </c>
      <c r="B141" s="165" t="str">
        <f t="shared" ca="1" si="28"/>
        <v/>
      </c>
      <c r="C141" s="20">
        <f t="shared" ca="1" si="29"/>
        <v>3</v>
      </c>
      <c r="D141" s="20"/>
      <c r="E141" s="71" t="str">
        <f t="shared" ca="1" si="30"/>
        <v/>
      </c>
      <c r="F141" s="166" t="str">
        <f t="shared" ca="1" si="31"/>
        <v>Authoritative publicly available sources include the Open Source Security Testing Methodology Manual (OSSTM) or the penetration testing in SP800-115.[3] and the Open Web Application Security Project (OWASP).</v>
      </c>
      <c r="G141" s="168"/>
      <c r="H141" s="169"/>
      <c r="I141" s="169"/>
      <c r="J141" s="169"/>
      <c r="K141" s="169"/>
      <c r="L141" s="169"/>
      <c r="M141" s="169"/>
      <c r="N141" s="70"/>
      <c r="O141" s="70"/>
      <c r="P141" s="70"/>
      <c r="Q141" s="70"/>
      <c r="R141" s="218"/>
      <c r="S141" s="218"/>
      <c r="T141" s="217" t="str">
        <f t="shared" ca="1" si="35"/>
        <v/>
      </c>
      <c r="U141" s="218"/>
      <c r="V141" s="218"/>
      <c r="W141" s="80">
        <v>0</v>
      </c>
      <c r="X141" s="87">
        <f t="shared" ca="1" si="33"/>
        <v>0</v>
      </c>
      <c r="Y141" s="211" t="e">
        <f t="shared" si="36"/>
        <v>#N/A</v>
      </c>
      <c r="AH141" s="70"/>
      <c r="AI141" s="84"/>
    </row>
    <row r="142" spans="1:35" s="77" customFormat="1" ht="45" x14ac:dyDescent="0.25">
      <c r="A142" s="68">
        <v>139</v>
      </c>
      <c r="B142" s="165" t="str">
        <f t="shared" ca="1" si="28"/>
        <v>B.6.03</v>
      </c>
      <c r="C142" s="20">
        <f t="shared" ca="1" si="29"/>
        <v>5</v>
      </c>
      <c r="D142" s="20"/>
      <c r="E142" s="71" t="str">
        <f t="shared" ca="1" si="30"/>
        <v>B.6.03</v>
      </c>
      <c r="F142" s="72" t="str">
        <f t="shared" ca="1" si="31"/>
        <v>Does your penetration testing methodology detail specific evaluation or testing criteria and adhere to a standard common language and scope for performing penetration testing (i.e. security evaluations)?</v>
      </c>
      <c r="G142" s="168"/>
      <c r="H142" s="169"/>
      <c r="I142" s="169"/>
      <c r="J142" s="169"/>
      <c r="K142" s="169"/>
      <c r="L142" s="169"/>
      <c r="M142" s="169"/>
      <c r="N142" s="70"/>
      <c r="O142" s="70"/>
      <c r="P142" s="70"/>
      <c r="Q142" s="70"/>
      <c r="R142" s="218"/>
      <c r="S142" s="218"/>
      <c r="T142" s="217" t="str">
        <f t="shared" ca="1" si="35"/>
        <v>B.6.03</v>
      </c>
      <c r="U142" s="218"/>
      <c r="V142" s="218"/>
      <c r="W142" s="81">
        <v>3</v>
      </c>
      <c r="X142" s="87">
        <f t="shared" ca="1" si="33"/>
        <v>3</v>
      </c>
      <c r="Y142" s="211" t="str">
        <f t="shared" si="36"/>
        <v>x 3</v>
      </c>
      <c r="AI142" s="84"/>
    </row>
    <row r="143" spans="1:35" s="77" customFormat="1" ht="60" x14ac:dyDescent="0.25">
      <c r="A143" s="68">
        <v>140</v>
      </c>
      <c r="B143" s="165" t="str">
        <f t="shared" ca="1" si="28"/>
        <v/>
      </c>
      <c r="C143" s="20">
        <f t="shared" ca="1" si="29"/>
        <v>3</v>
      </c>
      <c r="D143" s="20"/>
      <c r="E143" s="71" t="str">
        <f t="shared" ca="1" si="30"/>
        <v/>
      </c>
      <c r="F143" s="166" t="str">
        <f t="shared" ca="1" si="31"/>
        <v>Specific evaluation and testing criteria include the Information Systems Security Assessment Framework (ISSAF) and a standard common language and scope for performing penetration testing is defined in the Penetration Testing Execution Standard (PTES).</v>
      </c>
      <c r="G143" s="168"/>
      <c r="H143" s="169"/>
      <c r="I143" s="169"/>
      <c r="J143" s="169"/>
      <c r="K143" s="169"/>
      <c r="L143" s="169"/>
      <c r="M143" s="169"/>
      <c r="N143" s="70"/>
      <c r="O143" s="70"/>
      <c r="P143" s="70"/>
      <c r="Q143" s="70"/>
      <c r="R143" s="218"/>
      <c r="S143" s="218"/>
      <c r="T143" s="217" t="str">
        <f t="shared" ca="1" si="35"/>
        <v/>
      </c>
      <c r="U143" s="218"/>
      <c r="V143" s="218"/>
      <c r="W143" s="80">
        <v>0</v>
      </c>
      <c r="X143" s="87">
        <f t="shared" ca="1" si="33"/>
        <v>0</v>
      </c>
      <c r="Y143" s="211" t="e">
        <f t="shared" si="36"/>
        <v>#N/A</v>
      </c>
      <c r="AH143" s="70"/>
      <c r="AI143" s="84"/>
    </row>
    <row r="144" spans="1:35" s="77" customFormat="1" ht="45" x14ac:dyDescent="0.25">
      <c r="A144" s="68">
        <v>141</v>
      </c>
      <c r="B144" s="165" t="str">
        <f t="shared" ca="1" si="28"/>
        <v>B.6.04</v>
      </c>
      <c r="C144" s="20">
        <f t="shared" ca="1" si="29"/>
        <v>5</v>
      </c>
      <c r="D144" s="20"/>
      <c r="E144" s="71" t="str">
        <f t="shared" ca="1" si="30"/>
        <v>B.6.04</v>
      </c>
      <c r="F144" s="72" t="str">
        <f t="shared" ca="1" si="31"/>
        <v>Does your penetration testing methodology specify a required approach (or approaches) for carrying out all stages of a comprehensive end-to-end penetration test?</v>
      </c>
      <c r="G144" s="168"/>
      <c r="H144" s="169"/>
      <c r="I144" s="169"/>
      <c r="J144" s="169"/>
      <c r="K144" s="169"/>
      <c r="L144" s="169"/>
      <c r="M144" s="169"/>
      <c r="N144" s="70"/>
      <c r="O144" s="70"/>
      <c r="P144" s="70"/>
      <c r="Q144" s="70"/>
      <c r="R144" s="218"/>
      <c r="S144" s="218"/>
      <c r="T144" s="217" t="str">
        <f t="shared" ca="1" si="35"/>
        <v>B.6.04</v>
      </c>
      <c r="U144" s="218"/>
      <c r="V144" s="218"/>
      <c r="W144" s="81">
        <v>4</v>
      </c>
      <c r="X144" s="87">
        <f t="shared" ca="1" si="33"/>
        <v>4</v>
      </c>
      <c r="Y144" s="211" t="str">
        <f t="shared" si="36"/>
        <v>x 4</v>
      </c>
      <c r="AI144" s="84"/>
    </row>
    <row r="145" spans="1:35" s="77" customFormat="1" ht="60" x14ac:dyDescent="0.25">
      <c r="A145" s="68">
        <v>142</v>
      </c>
      <c r="B145" s="165" t="str">
        <f t="shared" ca="1" si="28"/>
        <v/>
      </c>
      <c r="C145" s="20">
        <f t="shared" ca="1" si="29"/>
        <v>3</v>
      </c>
      <c r="D145" s="20"/>
      <c r="E145" s="71" t="str">
        <f t="shared" ca="1" si="30"/>
        <v/>
      </c>
      <c r="F145" s="166" t="str">
        <f t="shared" ca="1" si="31"/>
        <v>An effective penetration testing methodology should specify a required approach (or approaches) for carrying out planning; conducting research; identifying vulnerabilities; exploiting weaknesses; reporting findings; and remediating issues.</v>
      </c>
      <c r="G145" s="168"/>
      <c r="H145" s="169"/>
      <c r="I145" s="169"/>
      <c r="J145" s="169"/>
      <c r="K145" s="169"/>
      <c r="L145" s="169"/>
      <c r="M145" s="169"/>
      <c r="N145" s="70"/>
      <c r="O145" s="70"/>
      <c r="P145" s="70"/>
      <c r="Q145" s="70"/>
      <c r="R145" s="218"/>
      <c r="S145" s="218"/>
      <c r="T145" s="217" t="str">
        <f t="shared" ca="1" si="35"/>
        <v/>
      </c>
      <c r="U145" s="218"/>
      <c r="V145" s="218"/>
      <c r="W145" s="80">
        <v>0</v>
      </c>
      <c r="X145" s="87">
        <f t="shared" ca="1" si="33"/>
        <v>0</v>
      </c>
      <c r="Y145" s="211" t="e">
        <f t="shared" si="36"/>
        <v>#N/A</v>
      </c>
      <c r="AH145" s="70"/>
      <c r="AI145" s="84"/>
    </row>
    <row r="146" spans="1:35" s="77" customFormat="1" ht="45" x14ac:dyDescent="0.25">
      <c r="A146" s="68">
        <v>143</v>
      </c>
      <c r="B146" s="165" t="str">
        <f t="shared" ca="1" si="28"/>
        <v>B.6.05</v>
      </c>
      <c r="C146" s="20">
        <f t="shared" ca="1" si="29"/>
        <v>5</v>
      </c>
      <c r="D146" s="20"/>
      <c r="E146" s="71" t="str">
        <f t="shared" ca="1" si="30"/>
        <v>B.6.05</v>
      </c>
      <c r="F146" s="72" t="str">
        <f t="shared" ca="1" si="31"/>
        <v>Do your service providers demonstrate compliance to ‘standard’ methodologies, if required, and develop or augment testing methodologies that each scenario demands?</v>
      </c>
      <c r="G146" s="168"/>
      <c r="H146" s="169"/>
      <c r="I146" s="169"/>
      <c r="J146" s="169"/>
      <c r="K146" s="169"/>
      <c r="L146" s="169"/>
      <c r="M146" s="169"/>
      <c r="N146" s="70"/>
      <c r="O146" s="70"/>
      <c r="P146" s="70"/>
      <c r="Q146" s="70"/>
      <c r="R146" s="218"/>
      <c r="S146" s="218"/>
      <c r="T146" s="217" t="str">
        <f t="shared" ca="1" si="35"/>
        <v>B.6.05</v>
      </c>
      <c r="U146" s="218"/>
      <c r="V146" s="218"/>
      <c r="W146" s="81">
        <v>5</v>
      </c>
      <c r="X146" s="87">
        <f t="shared" ca="1" si="33"/>
        <v>5</v>
      </c>
      <c r="Y146" s="211" t="str">
        <f t="shared" si="36"/>
        <v>x 5</v>
      </c>
      <c r="AI146" s="84"/>
    </row>
    <row r="147" spans="1:35" s="77" customFormat="1" ht="30" customHeight="1" x14ac:dyDescent="0.25">
      <c r="A147" s="68">
        <v>144</v>
      </c>
      <c r="B147" s="165" t="str">
        <f t="shared" ca="1" si="28"/>
        <v>B.7</v>
      </c>
      <c r="C147" s="20">
        <f t="shared" ca="1" si="29"/>
        <v>2</v>
      </c>
      <c r="D147" s="20"/>
      <c r="E147" s="199" t="str">
        <f t="shared" ca="1" si="30"/>
        <v>Step 7</v>
      </c>
      <c r="F147" s="202" t="str">
        <f t="shared" ca="1" si="31"/>
        <v>Conduct sufficient research and planning</v>
      </c>
      <c r="G147" s="202"/>
      <c r="H147" s="202"/>
      <c r="I147" s="202"/>
      <c r="J147" s="202"/>
      <c r="K147" s="202"/>
      <c r="L147" s="202"/>
      <c r="M147" s="202"/>
      <c r="N147" s="202"/>
      <c r="O147" s="202"/>
      <c r="P147" s="202"/>
      <c r="Q147" s="202"/>
      <c r="R147" s="215"/>
      <c r="S147" s="216"/>
      <c r="T147" s="217" t="str">
        <f t="shared" ca="1" si="35"/>
        <v>Step 7</v>
      </c>
      <c r="U147" s="216"/>
      <c r="V147" s="216"/>
      <c r="W147" s="81">
        <v>0</v>
      </c>
      <c r="X147" s="87">
        <f t="shared" ca="1" si="33"/>
        <v>0</v>
      </c>
      <c r="Y147" s="211" t="e">
        <f t="shared" si="36"/>
        <v>#N/A</v>
      </c>
      <c r="AI147" s="84"/>
    </row>
    <row r="148" spans="1:35" s="77" customFormat="1" ht="30" customHeight="1" x14ac:dyDescent="0.25">
      <c r="A148" s="68">
        <v>145</v>
      </c>
      <c r="B148" s="165" t="str">
        <f t="shared" ca="1" si="28"/>
        <v>B.7.01</v>
      </c>
      <c r="C148" s="20">
        <f t="shared" ca="1" si="29"/>
        <v>5</v>
      </c>
      <c r="D148" s="20"/>
      <c r="E148" s="71" t="str">
        <f t="shared" ca="1" si="30"/>
        <v>B.7.01</v>
      </c>
      <c r="F148" s="72" t="str">
        <f t="shared" ca="1" si="31"/>
        <v>Are detailed, agreed test plans produced to provide guidelines for the penetration testing to be undertaken?</v>
      </c>
      <c r="G148" s="168"/>
      <c r="H148" s="169"/>
      <c r="I148" s="169"/>
      <c r="J148" s="169"/>
      <c r="K148" s="169"/>
      <c r="L148" s="169"/>
      <c r="M148" s="169"/>
      <c r="N148" s="70"/>
      <c r="O148" s="70"/>
      <c r="P148" s="70"/>
      <c r="Q148" s="70"/>
      <c r="R148" s="218"/>
      <c r="S148" s="218"/>
      <c r="T148" s="217" t="str">
        <f t="shared" ca="1" si="35"/>
        <v>B.7.01</v>
      </c>
      <c r="U148" s="218"/>
      <c r="V148" s="218"/>
      <c r="W148" s="81">
        <v>1</v>
      </c>
      <c r="X148" s="87">
        <f t="shared" ca="1" si="33"/>
        <v>1</v>
      </c>
      <c r="Y148" s="211" t="str">
        <f t="shared" si="36"/>
        <v>x 1</v>
      </c>
      <c r="AI148" s="84"/>
    </row>
    <row r="149" spans="1:35" s="77" customFormat="1" ht="30" customHeight="1" x14ac:dyDescent="0.25">
      <c r="A149" s="68">
        <v>146</v>
      </c>
      <c r="B149" s="165" t="str">
        <f t="shared" ca="1" si="28"/>
        <v/>
      </c>
      <c r="C149" s="20">
        <f t="shared" ca="1" si="29"/>
        <v>3</v>
      </c>
      <c r="D149" s="20"/>
      <c r="E149" s="71" t="str">
        <f t="shared" ca="1" si="30"/>
        <v/>
      </c>
      <c r="F149" s="166" t="str">
        <f t="shared" ca="1" si="31"/>
        <v>Test plans should be produced by your testing service provider and agreed with your organisation prior to any testing commencing.</v>
      </c>
      <c r="G149" s="168"/>
      <c r="H149" s="169"/>
      <c r="I149" s="169"/>
      <c r="J149" s="169"/>
      <c r="K149" s="169"/>
      <c r="L149" s="169"/>
      <c r="M149" s="169"/>
      <c r="N149" s="70"/>
      <c r="O149" s="70"/>
      <c r="P149" s="70"/>
      <c r="Q149" s="70"/>
      <c r="R149" s="218"/>
      <c r="S149" s="218"/>
      <c r="T149" s="217" t="str">
        <f t="shared" ca="1" si="35"/>
        <v/>
      </c>
      <c r="U149" s="218"/>
      <c r="V149" s="218"/>
      <c r="W149" s="80">
        <v>0</v>
      </c>
      <c r="X149" s="87">
        <f t="shared" ca="1" si="33"/>
        <v>0</v>
      </c>
      <c r="Y149" s="211" t="e">
        <f t="shared" si="36"/>
        <v>#N/A</v>
      </c>
      <c r="AH149" s="70"/>
      <c r="AI149" s="84"/>
    </row>
    <row r="150" spans="1:35" s="77" customFormat="1" ht="45" x14ac:dyDescent="0.25">
      <c r="A150" s="68">
        <v>147</v>
      </c>
      <c r="B150" s="165" t="str">
        <f t="shared" ca="1" si="28"/>
        <v>B.7.02</v>
      </c>
      <c r="C150" s="20">
        <f t="shared" ca="1" si="29"/>
        <v>5</v>
      </c>
      <c r="D150" s="20"/>
      <c r="E150" s="71" t="str">
        <f t="shared" ca="1" si="30"/>
        <v>B.7.02</v>
      </c>
      <c r="F150" s="72" t="str">
        <f t="shared" ca="1" si="31"/>
        <v>Do test plans specify what will actually be done during the test itself and help to assure the process for a proper security test without creating misunderstandings, misconceptions, or false expectations?</v>
      </c>
      <c r="G150" s="168"/>
      <c r="H150" s="169"/>
      <c r="I150" s="169"/>
      <c r="J150" s="169"/>
      <c r="K150" s="169"/>
      <c r="L150" s="169"/>
      <c r="M150" s="169"/>
      <c r="N150" s="70"/>
      <c r="O150" s="70"/>
      <c r="P150" s="70"/>
      <c r="Q150" s="70"/>
      <c r="R150" s="218"/>
      <c r="S150" s="218"/>
      <c r="T150" s="217" t="str">
        <f t="shared" ca="1" si="35"/>
        <v>B.7.02</v>
      </c>
      <c r="U150" s="218"/>
      <c r="V150" s="218"/>
      <c r="W150" s="81">
        <v>4</v>
      </c>
      <c r="X150" s="87">
        <f t="shared" ca="1" si="33"/>
        <v>4</v>
      </c>
      <c r="Y150" s="211" t="str">
        <f t="shared" si="36"/>
        <v>x 4</v>
      </c>
      <c r="AI150" s="84"/>
    </row>
    <row r="151" spans="1:35" s="77" customFormat="1" ht="45" x14ac:dyDescent="0.25">
      <c r="A151" s="68">
        <v>148</v>
      </c>
      <c r="B151" s="165" t="str">
        <f t="shared" ca="1" si="28"/>
        <v>B.7.03</v>
      </c>
      <c r="C151" s="20">
        <f t="shared" ca="1" si="29"/>
        <v>5</v>
      </c>
      <c r="D151" s="20"/>
      <c r="E151" s="71" t="str">
        <f t="shared" ca="1" si="30"/>
        <v>B.7.03</v>
      </c>
      <c r="F151" s="72" t="str">
        <f t="shared" ca="1" si="31"/>
        <v>Do penetration tests include carrying out sufficient research to imitate the research activities that a potential attacker could undertake to find out as much about the target environment and how it works as possible?</v>
      </c>
      <c r="G151" s="168"/>
      <c r="H151" s="169"/>
      <c r="I151" s="169"/>
      <c r="J151" s="169"/>
      <c r="K151" s="169"/>
      <c r="L151" s="169"/>
      <c r="M151" s="169"/>
      <c r="N151" s="70"/>
      <c r="O151" s="70"/>
      <c r="P151" s="70"/>
      <c r="Q151" s="70"/>
      <c r="R151" s="218"/>
      <c r="S151" s="218"/>
      <c r="T151" s="217" t="str">
        <f t="shared" ca="1" si="35"/>
        <v>B.7.03</v>
      </c>
      <c r="U151" s="218"/>
      <c r="V151" s="218"/>
      <c r="W151" s="81">
        <v>3</v>
      </c>
      <c r="X151" s="87">
        <f t="shared" ca="1" si="33"/>
        <v>3</v>
      </c>
      <c r="Y151" s="211" t="str">
        <f t="shared" si="36"/>
        <v>x 3</v>
      </c>
      <c r="AI151" s="84"/>
    </row>
    <row r="152" spans="1:35" s="77" customFormat="1" ht="30" customHeight="1" x14ac:dyDescent="0.25">
      <c r="A152" s="68">
        <v>149</v>
      </c>
      <c r="B152" s="165" t="str">
        <f t="shared" ca="1" si="28"/>
        <v>B.7.04</v>
      </c>
      <c r="C152" s="20">
        <f t="shared" ca="1" si="29"/>
        <v>5</v>
      </c>
      <c r="D152" s="20"/>
      <c r="E152" s="71" t="str">
        <f t="shared" ca="1" si="30"/>
        <v>B.7.04</v>
      </c>
      <c r="F152" s="72" t="str">
        <f t="shared" ca="1" si="31"/>
        <v>Does the research undertaken include gathering, collating and analysing all relevant information about the target?</v>
      </c>
      <c r="G152" s="168"/>
      <c r="H152" s="169"/>
      <c r="I152" s="169"/>
      <c r="J152" s="169"/>
      <c r="K152" s="169"/>
      <c r="L152" s="169"/>
      <c r="M152" s="169"/>
      <c r="N152" s="70"/>
      <c r="O152" s="70"/>
      <c r="P152" s="70"/>
      <c r="Q152" s="70"/>
      <c r="R152" s="218"/>
      <c r="S152" s="218"/>
      <c r="T152" s="217" t="str">
        <f t="shared" ca="1" si="35"/>
        <v>B.7.04</v>
      </c>
      <c r="U152" s="218"/>
      <c r="V152" s="218"/>
      <c r="W152" s="81">
        <v>2</v>
      </c>
      <c r="X152" s="87">
        <f t="shared" ca="1" si="33"/>
        <v>2</v>
      </c>
      <c r="Y152" s="211" t="str">
        <f t="shared" si="36"/>
        <v>x 2</v>
      </c>
      <c r="AI152" s="84"/>
    </row>
    <row r="153" spans="1:35" s="77" customFormat="1" ht="60" x14ac:dyDescent="0.25">
      <c r="A153" s="68">
        <v>150</v>
      </c>
      <c r="B153" s="165" t="str">
        <f t="shared" ca="1" si="28"/>
        <v/>
      </c>
      <c r="C153" s="20">
        <f t="shared" ca="1" si="29"/>
        <v>3</v>
      </c>
      <c r="D153" s="20"/>
      <c r="E153" s="71" t="str">
        <f t="shared" ca="1" si="30"/>
        <v/>
      </c>
      <c r="F153" s="166" t="str">
        <f t="shared" ca="1" si="31"/>
        <v>Relevant information should include data: obtained from public sources of information, such as the Internet; through information sharing networks (e.g. CERTs); and via authorised social engineering sources.</v>
      </c>
      <c r="G153" s="168"/>
      <c r="H153" s="169"/>
      <c r="I153" s="169"/>
      <c r="J153" s="169"/>
      <c r="K153" s="169"/>
      <c r="L153" s="169"/>
      <c r="M153" s="169"/>
      <c r="N153" s="70"/>
      <c r="O153" s="70"/>
      <c r="P153" s="70"/>
      <c r="Q153" s="70"/>
      <c r="R153" s="218"/>
      <c r="S153" s="218"/>
      <c r="T153" s="217" t="str">
        <f t="shared" ca="1" si="35"/>
        <v/>
      </c>
      <c r="U153" s="218"/>
      <c r="V153" s="218"/>
      <c r="W153" s="80">
        <v>0</v>
      </c>
      <c r="X153" s="87">
        <f t="shared" ca="1" si="33"/>
        <v>0</v>
      </c>
      <c r="Y153" s="211" t="e">
        <f t="shared" si="36"/>
        <v>#N/A</v>
      </c>
      <c r="AH153" s="70"/>
      <c r="AI153" s="84"/>
    </row>
    <row r="154" spans="1:35" s="77" customFormat="1" ht="30" customHeight="1" x14ac:dyDescent="0.25">
      <c r="A154" s="68">
        <v>151</v>
      </c>
      <c r="B154" s="165" t="str">
        <f t="shared" ca="1" si="28"/>
        <v>B.7.05</v>
      </c>
      <c r="C154" s="20">
        <f t="shared" ca="1" si="29"/>
        <v>5</v>
      </c>
      <c r="D154" s="20"/>
      <c r="E154" s="71" t="str">
        <f t="shared" ca="1" si="30"/>
        <v>B.7.05</v>
      </c>
      <c r="F154" s="72" t="str">
        <f t="shared" ca="1" si="31"/>
        <v>Is information about the target based on threat intelligence?</v>
      </c>
      <c r="G154" s="168"/>
      <c r="H154" s="169"/>
      <c r="I154" s="169"/>
      <c r="J154" s="169"/>
      <c r="K154" s="169"/>
      <c r="L154" s="169"/>
      <c r="M154" s="169"/>
      <c r="N154" s="70"/>
      <c r="O154" s="70"/>
      <c r="P154" s="70"/>
      <c r="Q154" s="70"/>
      <c r="R154" s="218"/>
      <c r="S154" s="218"/>
      <c r="T154" s="217" t="str">
        <f t="shared" ca="1" si="35"/>
        <v>B.7.05</v>
      </c>
      <c r="U154" s="218"/>
      <c r="V154" s="218"/>
      <c r="W154" s="81">
        <v>5</v>
      </c>
      <c r="X154" s="87">
        <f t="shared" ca="1" si="33"/>
        <v>5</v>
      </c>
      <c r="Y154" s="211" t="str">
        <f t="shared" si="36"/>
        <v>x 5</v>
      </c>
      <c r="AI154" s="84"/>
    </row>
    <row r="155" spans="1:35" s="77" customFormat="1" ht="30" customHeight="1" x14ac:dyDescent="0.25">
      <c r="A155" s="68">
        <v>152</v>
      </c>
      <c r="B155" s="165" t="str">
        <f t="shared" ca="1" si="28"/>
        <v>B.7.06</v>
      </c>
      <c r="C155" s="20">
        <f t="shared" ca="1" si="29"/>
        <v>5</v>
      </c>
      <c r="D155" s="20"/>
      <c r="E155" s="71" t="str">
        <f t="shared" ca="1" si="30"/>
        <v>B.7.06</v>
      </c>
      <c r="F155" s="72" t="str">
        <f t="shared" ca="1" si="31"/>
        <v>Does the research undertaken include carrying out reconnaissance?</v>
      </c>
      <c r="G155" s="168"/>
      <c r="H155" s="169"/>
      <c r="I155" s="169"/>
      <c r="J155" s="169"/>
      <c r="K155" s="169"/>
      <c r="L155" s="169"/>
      <c r="M155" s="169"/>
      <c r="N155" s="70"/>
      <c r="O155" s="70"/>
      <c r="P155" s="70"/>
      <c r="Q155" s="70"/>
      <c r="R155" s="218"/>
      <c r="S155" s="218"/>
      <c r="T155" s="217" t="str">
        <f t="shared" ca="1" si="35"/>
        <v>B.7.06</v>
      </c>
      <c r="U155" s="218"/>
      <c r="V155" s="218"/>
      <c r="W155" s="81">
        <v>3</v>
      </c>
      <c r="X155" s="87">
        <f t="shared" ca="1" si="33"/>
        <v>3</v>
      </c>
      <c r="Y155" s="211" t="str">
        <f t="shared" si="36"/>
        <v>x 3</v>
      </c>
      <c r="AI155" s="84"/>
    </row>
    <row r="156" spans="1:35" s="77" customFormat="1" ht="60" x14ac:dyDescent="0.25">
      <c r="A156" s="68">
        <v>153</v>
      </c>
      <c r="B156" s="165" t="str">
        <f t="shared" ca="1" si="28"/>
        <v/>
      </c>
      <c r="C156" s="20">
        <f t="shared" ca="1" si="29"/>
        <v>3</v>
      </c>
      <c r="D156" s="20"/>
      <c r="E156" s="71" t="str">
        <f t="shared" ca="1" si="30"/>
        <v/>
      </c>
      <c r="F156" s="166" t="str">
        <f t="shared" ca="1" si="31"/>
        <v>Reconnaissance should include collating and analysing information about the target obtaining positive confirmation of information about the target (e.g. to confirm that system configuration and security controls are as expected).</v>
      </c>
      <c r="G156" s="168"/>
      <c r="H156" s="169"/>
      <c r="I156" s="169"/>
      <c r="J156" s="169"/>
      <c r="K156" s="169"/>
      <c r="L156" s="169"/>
      <c r="M156" s="169"/>
      <c r="N156" s="70"/>
      <c r="O156" s="70"/>
      <c r="P156" s="70"/>
      <c r="Q156" s="70"/>
      <c r="R156" s="218"/>
      <c r="S156" s="218"/>
      <c r="T156" s="217" t="str">
        <f t="shared" ca="1" si="35"/>
        <v/>
      </c>
      <c r="U156" s="218"/>
      <c r="V156" s="218"/>
      <c r="W156" s="80">
        <v>0</v>
      </c>
      <c r="X156" s="87">
        <f t="shared" ca="1" si="33"/>
        <v>0</v>
      </c>
      <c r="Y156" s="211" t="e">
        <f t="shared" si="36"/>
        <v>#N/A</v>
      </c>
      <c r="AH156" s="70"/>
      <c r="AI156" s="84"/>
    </row>
    <row r="157" spans="1:35" s="77" customFormat="1" ht="30" customHeight="1" x14ac:dyDescent="0.25">
      <c r="A157" s="68">
        <v>154</v>
      </c>
      <c r="B157" s="165" t="str">
        <f t="shared" ca="1" si="28"/>
        <v>B.7.07</v>
      </c>
      <c r="C157" s="20">
        <f t="shared" ca="1" si="29"/>
        <v>5</v>
      </c>
      <c r="D157" s="20"/>
      <c r="E157" s="71" t="str">
        <f t="shared" ca="1" si="30"/>
        <v>B.7.07</v>
      </c>
      <c r="F157" s="72" t="str">
        <f t="shared" ca="1" si="31"/>
        <v>Does the research undertaken include network enumeration / scanning?</v>
      </c>
      <c r="G157" s="168"/>
      <c r="H157" s="169"/>
      <c r="I157" s="169"/>
      <c r="J157" s="169"/>
      <c r="K157" s="169"/>
      <c r="L157" s="169"/>
      <c r="M157" s="169"/>
      <c r="N157" s="70"/>
      <c r="O157" s="70"/>
      <c r="P157" s="70"/>
      <c r="Q157" s="70"/>
      <c r="R157" s="218"/>
      <c r="S157" s="218"/>
      <c r="T157" s="217" t="str">
        <f t="shared" ca="1" si="35"/>
        <v>B.7.07</v>
      </c>
      <c r="U157" s="218"/>
      <c r="V157" s="218"/>
      <c r="W157" s="81">
        <v>3</v>
      </c>
      <c r="X157" s="87">
        <f t="shared" ca="1" si="33"/>
        <v>3</v>
      </c>
      <c r="Y157" s="211" t="str">
        <f t="shared" si="36"/>
        <v>x 3</v>
      </c>
      <c r="AI157" s="84"/>
    </row>
    <row r="158" spans="1:35" s="77" customFormat="1" ht="60" x14ac:dyDescent="0.25">
      <c r="A158" s="68">
        <v>155</v>
      </c>
      <c r="B158" s="165" t="str">
        <f t="shared" ca="1" si="28"/>
        <v/>
      </c>
      <c r="C158" s="20">
        <f t="shared" ca="1" si="29"/>
        <v>3</v>
      </c>
      <c r="D158" s="20"/>
      <c r="E158" s="71" t="str">
        <f t="shared" ca="1" si="30"/>
        <v/>
      </c>
      <c r="F158" s="166" t="str">
        <f t="shared" ca="1" si="31"/>
        <v>Network enumeration / scanning should include identifying the potential points of access being offered by a target by scanning for open services on targets and establishing the existence of possible user identification credentials.</v>
      </c>
      <c r="G158" s="168"/>
      <c r="H158" s="169"/>
      <c r="I158" s="169"/>
      <c r="J158" s="169"/>
      <c r="K158" s="169"/>
      <c r="L158" s="169"/>
      <c r="M158" s="169"/>
      <c r="N158" s="70"/>
      <c r="O158" s="70"/>
      <c r="P158" s="70"/>
      <c r="Q158" s="70"/>
      <c r="R158" s="218"/>
      <c r="S158" s="218"/>
      <c r="T158" s="217" t="str">
        <f t="shared" ca="1" si="35"/>
        <v/>
      </c>
      <c r="U158" s="218"/>
      <c r="V158" s="218"/>
      <c r="W158" s="80">
        <v>0</v>
      </c>
      <c r="X158" s="87">
        <f t="shared" ca="1" si="33"/>
        <v>0</v>
      </c>
      <c r="Y158" s="211" t="e">
        <f t="shared" si="36"/>
        <v>#N/A</v>
      </c>
      <c r="AH158" s="70"/>
      <c r="AI158" s="84"/>
    </row>
    <row r="159" spans="1:35" s="77" customFormat="1" ht="30" customHeight="1" x14ac:dyDescent="0.25">
      <c r="A159" s="68">
        <v>156</v>
      </c>
      <c r="B159" s="165" t="str">
        <f t="shared" ca="1" si="28"/>
        <v>B.7.08</v>
      </c>
      <c r="C159" s="20">
        <f t="shared" ca="1" si="29"/>
        <v>5</v>
      </c>
      <c r="D159" s="20"/>
      <c r="E159" s="71" t="str">
        <f t="shared" ca="1" si="30"/>
        <v>B.7.08</v>
      </c>
      <c r="F159" s="72" t="str">
        <f t="shared" ca="1" si="31"/>
        <v>Does the research undertaken include discovery and assessment?</v>
      </c>
      <c r="G159" s="168"/>
      <c r="H159" s="169"/>
      <c r="I159" s="169"/>
      <c r="J159" s="169"/>
      <c r="K159" s="169"/>
      <c r="L159" s="169"/>
      <c r="M159" s="169"/>
      <c r="N159" s="70"/>
      <c r="O159" s="70"/>
      <c r="P159" s="70"/>
      <c r="Q159" s="70"/>
      <c r="R159" s="218"/>
      <c r="S159" s="218"/>
      <c r="T159" s="217" t="str">
        <f t="shared" ca="1" si="35"/>
        <v>B.7.08</v>
      </c>
      <c r="U159" s="218"/>
      <c r="V159" s="218"/>
      <c r="W159" s="81">
        <v>3</v>
      </c>
      <c r="X159" s="87">
        <f t="shared" ca="1" si="33"/>
        <v>3</v>
      </c>
      <c r="Y159" s="211" t="str">
        <f t="shared" si="36"/>
        <v>x 3</v>
      </c>
      <c r="AI159" s="84"/>
    </row>
    <row r="160" spans="1:35" s="77" customFormat="1" ht="30" customHeight="1" x14ac:dyDescent="0.25">
      <c r="A160" s="68">
        <v>157</v>
      </c>
      <c r="B160" s="165" t="str">
        <f t="shared" ca="1" si="28"/>
        <v>B.8</v>
      </c>
      <c r="C160" s="20">
        <f t="shared" ca="1" si="29"/>
        <v>2</v>
      </c>
      <c r="D160" s="20"/>
      <c r="E160" s="199" t="str">
        <f t="shared" ca="1" si="30"/>
        <v>Step 8</v>
      </c>
      <c r="F160" s="202" t="str">
        <f t="shared" ca="1" si="31"/>
        <v>Identify and exploit vulnerabilities</v>
      </c>
      <c r="G160" s="202"/>
      <c r="H160" s="202"/>
      <c r="I160" s="202"/>
      <c r="J160" s="202"/>
      <c r="K160" s="202"/>
      <c r="L160" s="202"/>
      <c r="M160" s="202"/>
      <c r="N160" s="202"/>
      <c r="O160" s="202"/>
      <c r="P160" s="202"/>
      <c r="Q160" s="202"/>
      <c r="R160" s="215"/>
      <c r="S160" s="216"/>
      <c r="T160" s="217" t="str">
        <f t="shared" ca="1" si="35"/>
        <v>Step 8</v>
      </c>
      <c r="U160" s="216"/>
      <c r="V160" s="216"/>
      <c r="W160" s="81">
        <v>0</v>
      </c>
      <c r="X160" s="87">
        <f t="shared" ca="1" si="33"/>
        <v>0</v>
      </c>
      <c r="Y160" s="211" t="e">
        <f t="shared" si="36"/>
        <v>#N/A</v>
      </c>
      <c r="AI160" s="84"/>
    </row>
    <row r="161" spans="1:35" s="77" customFormat="1" ht="30" customHeight="1" x14ac:dyDescent="0.25">
      <c r="A161" s="68">
        <v>158</v>
      </c>
      <c r="B161" s="165" t="str">
        <f t="shared" ca="1" si="28"/>
        <v>B.8.01</v>
      </c>
      <c r="C161" s="20">
        <f t="shared" ca="1" si="29"/>
        <v>5</v>
      </c>
      <c r="D161" s="20"/>
      <c r="E161" s="71" t="str">
        <f t="shared" ca="1" si="30"/>
        <v>B.8.01</v>
      </c>
      <c r="F161" s="72" t="str">
        <f t="shared" ca="1" si="31"/>
        <v>Do penetration tests identify a range of potential vulnerabilities in target systems?</v>
      </c>
      <c r="G161" s="168"/>
      <c r="H161" s="169"/>
      <c r="I161" s="169"/>
      <c r="J161" s="169"/>
      <c r="K161" s="169"/>
      <c r="L161" s="169"/>
      <c r="M161" s="169"/>
      <c r="N161" s="70"/>
      <c r="O161" s="70"/>
      <c r="P161" s="70"/>
      <c r="Q161" s="70"/>
      <c r="R161" s="218"/>
      <c r="S161" s="218"/>
      <c r="T161" s="217" t="str">
        <f t="shared" ca="1" si="35"/>
        <v>B.8.01</v>
      </c>
      <c r="U161" s="218"/>
      <c r="V161" s="218"/>
      <c r="W161" s="81">
        <v>1</v>
      </c>
      <c r="X161" s="87">
        <f t="shared" ca="1" si="33"/>
        <v>1</v>
      </c>
      <c r="Y161" s="211" t="str">
        <f t="shared" si="36"/>
        <v>x 1</v>
      </c>
      <c r="AI161" s="84"/>
    </row>
    <row r="162" spans="1:35" s="77" customFormat="1" ht="60" x14ac:dyDescent="0.25">
      <c r="A162" s="68">
        <v>159</v>
      </c>
      <c r="B162" s="165" t="str">
        <f t="shared" ca="1" si="28"/>
        <v>B.8.02</v>
      </c>
      <c r="C162" s="20">
        <f t="shared" ca="1" si="29"/>
        <v>5</v>
      </c>
      <c r="D162" s="20"/>
      <c r="E162" s="71" t="str">
        <f t="shared" ca="1" si="30"/>
        <v>B.8.02</v>
      </c>
      <c r="F162" s="72" t="str">
        <f t="shared" ca="1" si="31"/>
        <v>Does vulnerability identification include testers examining: attack avenues, vectors and threat agents (e.g. using attack trees); results from threat analysis; technical system / network / application vulnerabilities; and control weaknesses</v>
      </c>
      <c r="G162" s="168"/>
      <c r="H162" s="169"/>
      <c r="I162" s="169"/>
      <c r="J162" s="169"/>
      <c r="K162" s="169"/>
      <c r="L162" s="169"/>
      <c r="M162" s="169"/>
      <c r="N162" s="70"/>
      <c r="O162" s="70"/>
      <c r="P162" s="70"/>
      <c r="Q162" s="70"/>
      <c r="R162" s="218"/>
      <c r="S162" s="218"/>
      <c r="T162" s="217" t="str">
        <f t="shared" ca="1" si="35"/>
        <v>B.8.02</v>
      </c>
      <c r="U162" s="218"/>
      <c r="V162" s="218"/>
      <c r="W162" s="81">
        <v>4</v>
      </c>
      <c r="X162" s="87">
        <f t="shared" ca="1" si="33"/>
        <v>4</v>
      </c>
      <c r="Y162" s="211" t="str">
        <f t="shared" si="36"/>
        <v>x 4</v>
      </c>
      <c r="AI162" s="84"/>
    </row>
    <row r="163" spans="1:35" s="77" customFormat="1" ht="60" x14ac:dyDescent="0.25">
      <c r="A163" s="68">
        <v>160</v>
      </c>
      <c r="B163" s="165" t="str">
        <f t="shared" ca="1" si="28"/>
        <v>B.8.03</v>
      </c>
      <c r="C163" s="20">
        <f t="shared" ca="1" si="29"/>
        <v>5</v>
      </c>
      <c r="D163" s="20"/>
      <c r="E163" s="71" t="str">
        <f t="shared" ca="1" si="30"/>
        <v>B.8.03</v>
      </c>
      <c r="F163" s="72" t="str">
        <f t="shared" ca="1" si="31"/>
        <v>Do tests include reviewing vulnerabilities identified by third parties, such as the ‘OWASP Top Ten’, which presents a list of common security vulnerabilities found in web applications (i.e. injection attacks, cross-site scripting and failure to restrict URL access)?</v>
      </c>
      <c r="G163" s="168"/>
      <c r="H163" s="169"/>
      <c r="I163" s="169"/>
      <c r="J163" s="169"/>
      <c r="K163" s="169"/>
      <c r="L163" s="169"/>
      <c r="M163" s="169"/>
      <c r="N163" s="70"/>
      <c r="O163" s="70"/>
      <c r="P163" s="70"/>
      <c r="Q163" s="70"/>
      <c r="R163" s="218"/>
      <c r="S163" s="218"/>
      <c r="T163" s="217" t="str">
        <f t="shared" ca="1" si="35"/>
        <v>B.8.03</v>
      </c>
      <c r="U163" s="218"/>
      <c r="V163" s="218"/>
      <c r="W163" s="81">
        <v>3</v>
      </c>
      <c r="X163" s="87">
        <f t="shared" ca="1" si="33"/>
        <v>3</v>
      </c>
      <c r="Y163" s="211" t="str">
        <f t="shared" si="36"/>
        <v>x 3</v>
      </c>
      <c r="AI163" s="84"/>
    </row>
    <row r="164" spans="1:35" s="77" customFormat="1" ht="45" x14ac:dyDescent="0.25">
      <c r="A164" s="68">
        <v>161</v>
      </c>
      <c r="B164" s="165" t="str">
        <f t="shared" ca="1" si="28"/>
        <v>B.8.04</v>
      </c>
      <c r="C164" s="20">
        <f t="shared" ca="1" si="29"/>
        <v>5</v>
      </c>
      <c r="D164" s="20"/>
      <c r="E164" s="71" t="str">
        <f t="shared" ca="1" si="30"/>
        <v>B.8.04</v>
      </c>
      <c r="F164" s="72" t="str">
        <f t="shared" ca="1" si="31"/>
        <v>Do tests include identifying the cause of any vulnerabilities discovered, for example resulting from a lack of understanding of IT security issues (e.g. by web developers and users of mobile devices)?</v>
      </c>
      <c r="G164" s="168"/>
      <c r="H164" s="169"/>
      <c r="I164" s="169"/>
      <c r="J164" s="169"/>
      <c r="K164" s="169"/>
      <c r="L164" s="169"/>
      <c r="M164" s="169"/>
      <c r="N164" s="70"/>
      <c r="O164" s="70"/>
      <c r="P164" s="70"/>
      <c r="Q164" s="70"/>
      <c r="R164" s="218"/>
      <c r="S164" s="218"/>
      <c r="T164" s="217" t="str">
        <f t="shared" ref="T164:T169" ca="1" si="37">E164</f>
        <v>B.8.04</v>
      </c>
      <c r="U164" s="218"/>
      <c r="V164" s="218"/>
      <c r="W164" s="81">
        <v>4</v>
      </c>
      <c r="X164" s="87">
        <f t="shared" ca="1" si="33"/>
        <v>4</v>
      </c>
      <c r="Y164" s="211" t="str">
        <f t="shared" si="36"/>
        <v>x 4</v>
      </c>
      <c r="AI164" s="84"/>
    </row>
    <row r="165" spans="1:35" s="77" customFormat="1" ht="30" customHeight="1" x14ac:dyDescent="0.25">
      <c r="A165" s="68">
        <v>162</v>
      </c>
      <c r="B165" s="165" t="str">
        <f t="shared" ca="1" si="28"/>
        <v>B.8.05</v>
      </c>
      <c r="C165" s="20">
        <f t="shared" ca="1" si="29"/>
        <v>5</v>
      </c>
      <c r="D165" s="20"/>
      <c r="E165" s="71" t="str">
        <f t="shared" ca="1" si="30"/>
        <v>B.8.05</v>
      </c>
      <c r="F165" s="72" t="str">
        <f t="shared" ca="1" si="31"/>
        <v>Do penetration testers try to exploit the vulnerabilities identified and actually penetrate the target system?</v>
      </c>
      <c r="G165" s="168"/>
      <c r="H165" s="169"/>
      <c r="I165" s="169"/>
      <c r="J165" s="169"/>
      <c r="K165" s="169"/>
      <c r="L165" s="169"/>
      <c r="M165" s="169"/>
      <c r="N165" s="70"/>
      <c r="O165" s="70"/>
      <c r="P165" s="70"/>
      <c r="Q165" s="70"/>
      <c r="R165" s="218"/>
      <c r="S165" s="218"/>
      <c r="T165" s="217" t="str">
        <f t="shared" ca="1" si="37"/>
        <v>B.8.05</v>
      </c>
      <c r="U165" s="218"/>
      <c r="V165" s="218"/>
      <c r="W165" s="81">
        <v>2</v>
      </c>
      <c r="X165" s="87">
        <f t="shared" ca="1" si="33"/>
        <v>2</v>
      </c>
      <c r="Y165" s="211" t="str">
        <f t="shared" si="36"/>
        <v>x 2</v>
      </c>
      <c r="AI165" s="84"/>
    </row>
    <row r="166" spans="1:35" s="77" customFormat="1" ht="30" customHeight="1" x14ac:dyDescent="0.25">
      <c r="A166" s="68">
        <v>163</v>
      </c>
      <c r="B166" s="165" t="str">
        <f t="shared" ca="1" si="28"/>
        <v>B.8.06</v>
      </c>
      <c r="C166" s="20">
        <f t="shared" ca="1" si="29"/>
        <v>5</v>
      </c>
      <c r="D166" s="20"/>
      <c r="E166" s="71" t="str">
        <f t="shared" ca="1" si="30"/>
        <v>B.8.06</v>
      </c>
      <c r="F166" s="72" t="str">
        <f t="shared" ca="1" si="31"/>
        <v>Do testers use a range of techniques (e.g. exploitation frameworks, stand-alone exploits, and other tactics) to try and take advantage of specific weaknesses?</v>
      </c>
      <c r="G166" s="168"/>
      <c r="H166" s="169"/>
      <c r="I166" s="169"/>
      <c r="J166" s="169"/>
      <c r="K166" s="169"/>
      <c r="L166" s="169"/>
      <c r="M166" s="169"/>
      <c r="N166" s="70"/>
      <c r="O166" s="70"/>
      <c r="P166" s="70"/>
      <c r="Q166" s="70"/>
      <c r="R166" s="218"/>
      <c r="S166" s="218"/>
      <c r="T166" s="217" t="str">
        <f t="shared" ca="1" si="37"/>
        <v>B.8.06</v>
      </c>
      <c r="U166" s="218"/>
      <c r="V166" s="218"/>
      <c r="W166" s="81">
        <v>5</v>
      </c>
      <c r="X166" s="87">
        <f t="shared" ca="1" si="33"/>
        <v>5</v>
      </c>
      <c r="Y166" s="211" t="str">
        <f t="shared" si="36"/>
        <v>x 5</v>
      </c>
      <c r="AI166" s="84"/>
    </row>
    <row r="167" spans="1:35" s="77" customFormat="1" ht="105" x14ac:dyDescent="0.25">
      <c r="A167" s="68">
        <v>164</v>
      </c>
      <c r="B167" s="165" t="str">
        <f t="shared" ca="1" si="28"/>
        <v/>
      </c>
      <c r="C167" s="20">
        <f t="shared" ca="1" si="29"/>
        <v>3</v>
      </c>
      <c r="D167" s="20"/>
      <c r="E167" s="71" t="str">
        <f t="shared" ca="1" si="30"/>
        <v/>
      </c>
      <c r="F167" s="166" t="str">
        <f t="shared" ca="1" si="31"/>
        <v>Exploitation techniques include: specific Exploit techniques (e.g. for web applications); Escalation techniques, gaining further access within a target, once an initial level of access has been obtained; advancement techniques, attempting to move on from the compromised target to find other vulnerable systems; and analysis techniques, verifying the raw data to ensure that the test has been thorough and comprehensive.</v>
      </c>
      <c r="G167" s="168"/>
      <c r="H167" s="169"/>
      <c r="I167" s="169"/>
      <c r="J167" s="169"/>
      <c r="K167" s="169"/>
      <c r="L167" s="169"/>
      <c r="M167" s="169"/>
      <c r="N167" s="70"/>
      <c r="O167" s="70"/>
      <c r="P167" s="70"/>
      <c r="Q167" s="70"/>
      <c r="R167" s="218"/>
      <c r="S167" s="218"/>
      <c r="T167" s="217" t="str">
        <f t="shared" ca="1" si="37"/>
        <v/>
      </c>
      <c r="U167" s="218"/>
      <c r="V167" s="218"/>
      <c r="W167" s="80">
        <v>0</v>
      </c>
      <c r="X167" s="87">
        <f t="shared" ca="1" si="33"/>
        <v>0</v>
      </c>
      <c r="Y167" s="211" t="e">
        <f t="shared" si="36"/>
        <v>#N/A</v>
      </c>
      <c r="AH167" s="70"/>
      <c r="AI167" s="84"/>
    </row>
    <row r="168" spans="1:35" s="77" customFormat="1" ht="30" customHeight="1" x14ac:dyDescent="0.25">
      <c r="A168" s="68">
        <v>165</v>
      </c>
      <c r="B168" s="165" t="str">
        <f t="shared" ref="B168:B199" ca="1" si="38">VLOOKUP(A168,Contents_Text,2,FALSE)</f>
        <v>B.9</v>
      </c>
      <c r="C168" s="20">
        <f t="shared" ref="C168:C199" ca="1" si="39">VLOOKUP(A168,Contents_Text,15,FALSE)</f>
        <v>2</v>
      </c>
      <c r="D168" s="20"/>
      <c r="E168" s="199" t="str">
        <f t="shared" ref="E168:E199" ca="1" si="40">IF(C168=1,"Stage "&amp;B168,IF(C168=2,"Step "&amp;VLOOKUP(A168,Contents_Text,4,FALSE),B168))</f>
        <v>Step 9</v>
      </c>
      <c r="F168" s="202" t="str">
        <f t="shared" ref="F168:F199" ca="1" si="41">VLOOKUP(A168,Contents_Text,7,FALSE)</f>
        <v>Report key findings</v>
      </c>
      <c r="G168" s="202"/>
      <c r="H168" s="202"/>
      <c r="I168" s="202"/>
      <c r="J168" s="202"/>
      <c r="K168" s="202"/>
      <c r="L168" s="202"/>
      <c r="M168" s="202"/>
      <c r="N168" s="202"/>
      <c r="O168" s="202"/>
      <c r="P168" s="202"/>
      <c r="Q168" s="202"/>
      <c r="R168" s="215"/>
      <c r="S168" s="216"/>
      <c r="T168" s="217" t="str">
        <f t="shared" ca="1" si="37"/>
        <v>Step 9</v>
      </c>
      <c r="U168" s="216"/>
      <c r="V168" s="216"/>
      <c r="W168" s="81">
        <v>0</v>
      </c>
      <c r="X168" s="87">
        <f t="shared" ref="X168:X199" ca="1" si="42">VLOOKUP(A168,Contents_Text,8,FALSE)</f>
        <v>0</v>
      </c>
      <c r="Y168" s="211" t="e">
        <f t="shared" si="36"/>
        <v>#N/A</v>
      </c>
      <c r="AI168" s="84"/>
    </row>
    <row r="169" spans="1:35" s="77" customFormat="1" ht="60" x14ac:dyDescent="0.25">
      <c r="A169" s="68">
        <v>166</v>
      </c>
      <c r="B169" s="165" t="str">
        <f t="shared" ca="1" si="38"/>
        <v>B.9.01</v>
      </c>
      <c r="C169" s="20">
        <f t="shared" ca="1" si="39"/>
        <v>5</v>
      </c>
      <c r="D169" s="20"/>
      <c r="E169" s="71" t="str">
        <f t="shared" ca="1" si="40"/>
        <v>B.9.01</v>
      </c>
      <c r="F169" s="72" t="str">
        <f t="shared" ca="1" si="41"/>
        <v>Are findings identified during the penetration test reported to your organisation in both technical terms that can be acted upon and non-technical, business context, so that the justifications for the corrective actions are understood; as well as in a formal report?</v>
      </c>
      <c r="G169" s="168"/>
      <c r="H169" s="169"/>
      <c r="I169" s="169"/>
      <c r="J169" s="169"/>
      <c r="K169" s="169"/>
      <c r="L169" s="169"/>
      <c r="M169" s="169"/>
      <c r="N169" s="70"/>
      <c r="O169" s="70"/>
      <c r="P169" s="70"/>
      <c r="Q169" s="70"/>
      <c r="R169" s="218"/>
      <c r="S169" s="218"/>
      <c r="T169" s="217" t="str">
        <f t="shared" ca="1" si="37"/>
        <v>B.9.01</v>
      </c>
      <c r="U169" s="218"/>
      <c r="V169" s="218"/>
      <c r="W169" s="81">
        <v>1</v>
      </c>
      <c r="X169" s="87">
        <f t="shared" ca="1" si="42"/>
        <v>1</v>
      </c>
      <c r="Y169" s="211" t="str">
        <f t="shared" si="36"/>
        <v>x 1</v>
      </c>
      <c r="AI169" s="84"/>
    </row>
    <row r="170" spans="1:35" s="77" customFormat="1" ht="30" customHeight="1" x14ac:dyDescent="0.25">
      <c r="A170" s="68">
        <v>167</v>
      </c>
      <c r="B170" s="165" t="str">
        <f t="shared" ca="1" si="38"/>
        <v>B.9.02</v>
      </c>
      <c r="C170" s="20">
        <f t="shared" ca="1" si="39"/>
        <v>5</v>
      </c>
      <c r="D170" s="20"/>
      <c r="E170" s="71" t="str">
        <f t="shared" ca="1" si="40"/>
        <v>B.9.02</v>
      </c>
      <c r="F170" s="72" t="str">
        <f t="shared" ca="1" si="41"/>
        <v>Do penetration testing reports describe the vulnerabilities found?</v>
      </c>
      <c r="G170" s="168"/>
      <c r="H170" s="169"/>
      <c r="I170" s="169"/>
      <c r="J170" s="169"/>
      <c r="K170" s="169"/>
      <c r="L170" s="169"/>
      <c r="M170" s="169"/>
      <c r="N170" s="70"/>
      <c r="O170" s="70"/>
      <c r="P170" s="70"/>
      <c r="Q170" s="70"/>
      <c r="R170" s="218"/>
      <c r="S170" s="218"/>
      <c r="T170" s="217"/>
      <c r="U170" s="218"/>
      <c r="V170" s="218"/>
      <c r="W170" s="81">
        <v>4</v>
      </c>
      <c r="X170" s="87">
        <f t="shared" ca="1" si="42"/>
        <v>4</v>
      </c>
      <c r="Y170" s="211" t="str">
        <f t="shared" si="36"/>
        <v>x 4</v>
      </c>
      <c r="AI170" s="84"/>
    </row>
    <row r="171" spans="1:35" s="77" customFormat="1" ht="75" x14ac:dyDescent="0.25">
      <c r="A171" s="68">
        <v>168</v>
      </c>
      <c r="B171" s="165" t="str">
        <f t="shared" ca="1" si="38"/>
        <v/>
      </c>
      <c r="C171" s="20">
        <f t="shared" ca="1" si="39"/>
        <v>3</v>
      </c>
      <c r="D171" s="20"/>
      <c r="E171" s="71" t="str">
        <f t="shared" ca="1" si="40"/>
        <v/>
      </c>
      <c r="F171" s="166" t="str">
        <f t="shared" ca="1" si="41"/>
        <v>Penetration testing reports should describe the vulnerabilities found by including: test narrative – describing the process that the tester used to achieve particular results; test evidence – results of automated testing tools and screen shots of successful exploits; and details about the associated technical risks (and how to address them).</v>
      </c>
      <c r="G171" s="168"/>
      <c r="H171" s="169"/>
      <c r="I171" s="169"/>
      <c r="J171" s="169"/>
      <c r="K171" s="169"/>
      <c r="L171" s="169"/>
      <c r="M171" s="169"/>
      <c r="N171" s="70"/>
      <c r="O171" s="70"/>
      <c r="P171" s="70"/>
      <c r="Q171" s="70"/>
      <c r="R171" s="218"/>
      <c r="S171" s="218"/>
      <c r="T171" s="217" t="str">
        <f t="shared" ref="T171:T190" ca="1" si="43">E171</f>
        <v/>
      </c>
      <c r="U171" s="218"/>
      <c r="V171" s="218"/>
      <c r="W171" s="80">
        <v>0</v>
      </c>
      <c r="X171" s="87">
        <f t="shared" ca="1" si="42"/>
        <v>0</v>
      </c>
      <c r="Y171" s="211" t="e">
        <f t="shared" si="36"/>
        <v>#N/A</v>
      </c>
      <c r="AH171" s="70"/>
      <c r="AI171" s="84"/>
    </row>
    <row r="172" spans="1:35" s="77" customFormat="1" ht="30" customHeight="1" x14ac:dyDescent="0.25">
      <c r="A172" s="68">
        <v>169</v>
      </c>
      <c r="B172" s="165" t="str">
        <f t="shared" ca="1" si="38"/>
        <v>B.9.03</v>
      </c>
      <c r="C172" s="20">
        <f t="shared" ca="1" si="39"/>
        <v>5</v>
      </c>
      <c r="D172" s="20"/>
      <c r="E172" s="71" t="str">
        <f t="shared" ca="1" si="40"/>
        <v>B.9.03</v>
      </c>
      <c r="F172" s="72" t="str">
        <f t="shared" ca="1" si="41"/>
        <v>Are penetration testing reports used to present remediation activities undertaken and the root causes of issues identified?</v>
      </c>
      <c r="G172" s="168"/>
      <c r="H172" s="169"/>
      <c r="I172" s="169"/>
      <c r="J172" s="169"/>
      <c r="K172" s="169"/>
      <c r="L172" s="169"/>
      <c r="M172" s="169"/>
      <c r="N172" s="70"/>
      <c r="O172" s="70"/>
      <c r="P172" s="70"/>
      <c r="Q172" s="70"/>
      <c r="R172" s="218"/>
      <c r="S172" s="218"/>
      <c r="T172" s="217" t="str">
        <f t="shared" ca="1" si="43"/>
        <v>B.9.03</v>
      </c>
      <c r="U172" s="218"/>
      <c r="V172" s="218"/>
      <c r="W172" s="81">
        <v>4</v>
      </c>
      <c r="X172" s="87">
        <f t="shared" ca="1" si="42"/>
        <v>4</v>
      </c>
      <c r="Y172" s="211" t="str">
        <f t="shared" si="36"/>
        <v>x 4</v>
      </c>
      <c r="AI172" s="84"/>
    </row>
    <row r="173" spans="1:35" s="77" customFormat="1" ht="30" customHeight="1" x14ac:dyDescent="0.25">
      <c r="A173" s="68">
        <v>170</v>
      </c>
      <c r="B173" s="165" t="str">
        <f t="shared" ca="1" si="38"/>
        <v>B.9.04</v>
      </c>
      <c r="C173" s="20">
        <f t="shared" ca="1" si="39"/>
        <v>5</v>
      </c>
      <c r="D173" s="20"/>
      <c r="E173" s="71" t="str">
        <f t="shared" ca="1" si="40"/>
        <v>B.9.04</v>
      </c>
      <c r="F173" s="72" t="str">
        <f t="shared" ca="1" si="41"/>
        <v>Are penetration testing reports disseminated to relevant staff - and acted upon?</v>
      </c>
      <c r="G173" s="168"/>
      <c r="H173" s="169"/>
      <c r="I173" s="169"/>
      <c r="J173" s="169"/>
      <c r="K173" s="169"/>
      <c r="L173" s="169"/>
      <c r="M173" s="169"/>
      <c r="N173" s="70"/>
      <c r="O173" s="70"/>
      <c r="P173" s="70"/>
      <c r="Q173" s="70"/>
      <c r="R173" s="218"/>
      <c r="S173" s="218"/>
      <c r="T173" s="217" t="str">
        <f t="shared" ca="1" si="43"/>
        <v>B.9.04</v>
      </c>
      <c r="U173" s="218"/>
      <c r="V173" s="218"/>
      <c r="W173" s="81">
        <v>3</v>
      </c>
      <c r="X173" s="87">
        <f t="shared" ca="1" si="42"/>
        <v>3</v>
      </c>
      <c r="Y173" s="211" t="str">
        <f t="shared" si="36"/>
        <v>x 3</v>
      </c>
      <c r="AI173" s="84"/>
    </row>
    <row r="174" spans="1:35" s="77" customFormat="1" ht="30" customHeight="1" x14ac:dyDescent="0.25">
      <c r="A174" s="68">
        <v>171</v>
      </c>
      <c r="B174" s="165" t="str">
        <f t="shared" ca="1" si="38"/>
        <v>B.9.05</v>
      </c>
      <c r="C174" s="20">
        <f t="shared" ca="1" si="39"/>
        <v>5</v>
      </c>
      <c r="D174" s="20"/>
      <c r="E174" s="71" t="str">
        <f t="shared" ca="1" si="40"/>
        <v>B.9.05</v>
      </c>
      <c r="F174" s="72" t="str">
        <f t="shared" ca="1" si="41"/>
        <v>Does test reporting include a comprehensive presentation from your service provider about the key findings identified?</v>
      </c>
      <c r="G174" s="168"/>
      <c r="H174" s="169"/>
      <c r="I174" s="169"/>
      <c r="J174" s="169"/>
      <c r="K174" s="169"/>
      <c r="L174" s="169"/>
      <c r="M174" s="169"/>
      <c r="N174" s="70"/>
      <c r="O174" s="70"/>
      <c r="P174" s="70"/>
      <c r="Q174" s="70"/>
      <c r="R174" s="218"/>
      <c r="S174" s="218"/>
      <c r="T174" s="217" t="str">
        <f t="shared" ca="1" si="43"/>
        <v>B.9.05</v>
      </c>
      <c r="U174" s="218"/>
      <c r="V174" s="218"/>
      <c r="W174" s="81">
        <v>5</v>
      </c>
      <c r="X174" s="87">
        <f t="shared" ca="1" si="42"/>
        <v>5</v>
      </c>
      <c r="Y174" s="211" t="str">
        <f t="shared" si="36"/>
        <v>x 5</v>
      </c>
      <c r="AI174" s="84"/>
    </row>
    <row r="175" spans="1:35" s="77" customFormat="1" ht="60" x14ac:dyDescent="0.25">
      <c r="A175" s="68">
        <v>172</v>
      </c>
      <c r="B175" s="165" t="str">
        <f t="shared" ca="1" si="38"/>
        <v/>
      </c>
      <c r="C175" s="20">
        <f t="shared" ca="1" si="39"/>
        <v>3</v>
      </c>
      <c r="D175" s="20"/>
      <c r="E175" s="71" t="str">
        <f t="shared" ca="1" si="40"/>
        <v/>
      </c>
      <c r="F175" s="166" t="str">
        <f t="shared" ca="1" si="41"/>
        <v>The presentation about test findings identified should provide details about: how testers found the vulnerabilities; what could be the outcome of each vulnerability; the level of risk to the business for each vulnerability; and advice on how to remediate each vulnerability.</v>
      </c>
      <c r="G175" s="168"/>
      <c r="H175" s="169"/>
      <c r="I175" s="169"/>
      <c r="J175" s="169"/>
      <c r="K175" s="169"/>
      <c r="L175" s="169"/>
      <c r="M175" s="169"/>
      <c r="N175" s="70"/>
      <c r="O175" s="70"/>
      <c r="P175" s="70"/>
      <c r="Q175" s="70"/>
      <c r="R175" s="218"/>
      <c r="S175" s="218"/>
      <c r="T175" s="217" t="str">
        <f t="shared" ca="1" si="43"/>
        <v/>
      </c>
      <c r="U175" s="218"/>
      <c r="V175" s="218"/>
      <c r="W175" s="80">
        <v>0</v>
      </c>
      <c r="X175" s="87">
        <f t="shared" ca="1" si="42"/>
        <v>0</v>
      </c>
      <c r="Y175" s="211" t="e">
        <f t="shared" si="36"/>
        <v>#N/A</v>
      </c>
      <c r="AH175" s="70"/>
      <c r="AI175" s="84"/>
    </row>
    <row r="176" spans="1:35" s="77" customFormat="1" ht="34.9" customHeight="1" x14ac:dyDescent="0.25">
      <c r="A176" s="68">
        <v>173</v>
      </c>
      <c r="B176" s="165" t="str">
        <f t="shared" ca="1" si="38"/>
        <v>C</v>
      </c>
      <c r="C176" s="20">
        <f t="shared" ca="1" si="39"/>
        <v>1</v>
      </c>
      <c r="D176" s="20"/>
      <c r="E176" s="200" t="str">
        <f t="shared" ca="1" si="40"/>
        <v>Stage C</v>
      </c>
      <c r="F176" s="203" t="str">
        <f t="shared" ca="1" si="41"/>
        <v>Follow up</v>
      </c>
      <c r="G176" s="205"/>
      <c r="H176" s="207"/>
      <c r="I176" s="207"/>
      <c r="J176" s="207"/>
      <c r="K176" s="207"/>
      <c r="L176" s="207"/>
      <c r="M176" s="205"/>
      <c r="N176" s="205"/>
      <c r="O176" s="205"/>
      <c r="P176" s="205"/>
      <c r="Q176" s="205"/>
      <c r="R176" s="219"/>
      <c r="S176" s="219"/>
      <c r="T176" s="217" t="str">
        <f t="shared" ca="1" si="43"/>
        <v>Stage C</v>
      </c>
      <c r="U176" s="219"/>
      <c r="V176" s="219"/>
      <c r="W176" s="81">
        <v>0</v>
      </c>
      <c r="X176" s="87">
        <f t="shared" ca="1" si="42"/>
        <v>0</v>
      </c>
      <c r="Y176" s="211" t="e">
        <f t="shared" si="36"/>
        <v>#N/A</v>
      </c>
      <c r="AI176" s="84"/>
    </row>
    <row r="177" spans="1:35" s="77" customFormat="1" ht="30" customHeight="1" x14ac:dyDescent="0.25">
      <c r="A177" s="68">
        <v>174</v>
      </c>
      <c r="B177" s="165" t="str">
        <f t="shared" ca="1" si="38"/>
        <v>C.1</v>
      </c>
      <c r="C177" s="20">
        <f t="shared" ca="1" si="39"/>
        <v>2</v>
      </c>
      <c r="D177" s="20"/>
      <c r="E177" s="199" t="str">
        <f t="shared" ca="1" si="40"/>
        <v>Step 1</v>
      </c>
      <c r="F177" s="202" t="str">
        <f t="shared" ca="1" si="41"/>
        <v>Remediate weaknesses</v>
      </c>
      <c r="G177" s="202"/>
      <c r="H177" s="202"/>
      <c r="I177" s="202"/>
      <c r="J177" s="202"/>
      <c r="K177" s="202"/>
      <c r="L177" s="202"/>
      <c r="M177" s="202"/>
      <c r="N177" s="202"/>
      <c r="O177" s="202"/>
      <c r="P177" s="202"/>
      <c r="Q177" s="202"/>
      <c r="R177" s="215"/>
      <c r="S177" s="216"/>
      <c r="T177" s="217" t="str">
        <f t="shared" ca="1" si="43"/>
        <v>Step 1</v>
      </c>
      <c r="U177" s="216"/>
      <c r="V177" s="216"/>
      <c r="W177" s="81">
        <v>0</v>
      </c>
      <c r="X177" s="87">
        <f t="shared" ca="1" si="42"/>
        <v>0</v>
      </c>
      <c r="Y177" s="211" t="e">
        <f t="shared" si="36"/>
        <v>#N/A</v>
      </c>
      <c r="AI177" s="84"/>
    </row>
    <row r="178" spans="1:35" s="77" customFormat="1" ht="30" customHeight="1" x14ac:dyDescent="0.25">
      <c r="A178" s="68">
        <v>175</v>
      </c>
      <c r="B178" s="165" t="str">
        <f t="shared" ca="1" si="38"/>
        <v>C.1.01</v>
      </c>
      <c r="C178" s="20">
        <f t="shared" ca="1" si="39"/>
        <v>5</v>
      </c>
      <c r="D178" s="20"/>
      <c r="E178" s="71" t="str">
        <f t="shared" ca="1" si="40"/>
        <v>C.1.01</v>
      </c>
      <c r="F178" s="72" t="str">
        <f t="shared" ca="1" si="41"/>
        <v>Do follow-up activities include remediating weaknesses identified in penetration testing?</v>
      </c>
      <c r="G178" s="168"/>
      <c r="H178" s="169"/>
      <c r="I178" s="169"/>
      <c r="J178" s="169"/>
      <c r="K178" s="169"/>
      <c r="L178" s="169"/>
      <c r="M178" s="169"/>
      <c r="N178" s="70"/>
      <c r="O178" s="70"/>
      <c r="P178" s="70"/>
      <c r="Q178" s="70"/>
      <c r="R178" s="218"/>
      <c r="S178" s="218"/>
      <c r="T178" s="217" t="str">
        <f t="shared" ca="1" si="43"/>
        <v>C.1.01</v>
      </c>
      <c r="U178" s="218"/>
      <c r="V178" s="218"/>
      <c r="W178" s="81">
        <v>2</v>
      </c>
      <c r="X178" s="87">
        <f t="shared" ca="1" si="42"/>
        <v>2</v>
      </c>
      <c r="Y178" s="211" t="str">
        <f t="shared" si="36"/>
        <v>x 2</v>
      </c>
      <c r="AI178" s="84"/>
    </row>
    <row r="179" spans="1:35" s="77" customFormat="1" ht="30" customHeight="1" x14ac:dyDescent="0.25">
      <c r="A179" s="68">
        <v>176</v>
      </c>
      <c r="B179" s="165" t="str">
        <f t="shared" ca="1" si="38"/>
        <v>C.1.02</v>
      </c>
      <c r="C179" s="20">
        <f t="shared" ca="1" si="39"/>
        <v>5</v>
      </c>
      <c r="D179" s="20"/>
      <c r="E179" s="71" t="str">
        <f t="shared" ca="1" si="40"/>
        <v>C.1.02</v>
      </c>
      <c r="F179" s="72" t="str">
        <f t="shared" ca="1" si="41"/>
        <v>Are weaknesses remediated in line with a comprehensive, approved remediation process?</v>
      </c>
      <c r="G179" s="168"/>
      <c r="H179" s="169"/>
      <c r="I179" s="169"/>
      <c r="J179" s="169"/>
      <c r="K179" s="169"/>
      <c r="L179" s="169"/>
      <c r="M179" s="169"/>
      <c r="N179" s="70"/>
      <c r="O179" s="70"/>
      <c r="P179" s="70"/>
      <c r="Q179" s="70"/>
      <c r="R179" s="218"/>
      <c r="S179" s="218"/>
      <c r="T179" s="217" t="str">
        <f t="shared" ca="1" si="43"/>
        <v>C.1.02</v>
      </c>
      <c r="U179" s="218"/>
      <c r="V179" s="218"/>
      <c r="W179" s="81">
        <v>4</v>
      </c>
      <c r="X179" s="87">
        <f t="shared" ca="1" si="42"/>
        <v>4</v>
      </c>
      <c r="Y179" s="211" t="str">
        <f t="shared" si="36"/>
        <v>x 4</v>
      </c>
      <c r="AI179" s="84"/>
    </row>
    <row r="180" spans="1:35" s="77" customFormat="1" ht="105" x14ac:dyDescent="0.25">
      <c r="A180" s="68">
        <v>177</v>
      </c>
      <c r="B180" s="165" t="str">
        <f t="shared" ca="1" si="38"/>
        <v/>
      </c>
      <c r="C180" s="20">
        <f t="shared" ca="1" si="39"/>
        <v>3</v>
      </c>
      <c r="D180" s="20"/>
      <c r="E180" s="71" t="str">
        <f t="shared" ca="1" si="40"/>
        <v/>
      </c>
      <c r="F180" s="166" t="str">
        <f t="shared" ca="1" si="41"/>
        <v>An effective remediation process should include addressing all issues; applying immediate or short terms solutions (e.g. patching systems, closing ports and preventing traffic from particular web sites or IP addresses), replicating results of penetration tests, determining which weaknesses to address first (e.g. based on risk ratings for critical assets), and reporting weaknesses to relevant third party organisations.</v>
      </c>
      <c r="G180" s="168"/>
      <c r="H180" s="169"/>
      <c r="I180" s="169"/>
      <c r="J180" s="169"/>
      <c r="K180" s="169"/>
      <c r="L180" s="169"/>
      <c r="M180" s="169"/>
      <c r="N180" s="70"/>
      <c r="O180" s="70"/>
      <c r="P180" s="70"/>
      <c r="Q180" s="70"/>
      <c r="R180" s="218"/>
      <c r="S180" s="218"/>
      <c r="T180" s="217" t="str">
        <f t="shared" ca="1" si="43"/>
        <v/>
      </c>
      <c r="U180" s="218"/>
      <c r="V180" s="218"/>
      <c r="W180" s="80">
        <v>0</v>
      </c>
      <c r="X180" s="87">
        <f t="shared" ca="1" si="42"/>
        <v>0</v>
      </c>
      <c r="Y180" s="211" t="e">
        <f t="shared" si="36"/>
        <v>#N/A</v>
      </c>
      <c r="AH180" s="70"/>
      <c r="AI180" s="84"/>
    </row>
    <row r="181" spans="1:35" s="77" customFormat="1" ht="30" customHeight="1" x14ac:dyDescent="0.25">
      <c r="A181" s="68">
        <v>178</v>
      </c>
      <c r="B181" s="165" t="str">
        <f t="shared" ca="1" si="38"/>
        <v>C.2</v>
      </c>
      <c r="C181" s="20">
        <f t="shared" ca="1" si="39"/>
        <v>2</v>
      </c>
      <c r="D181" s="20"/>
      <c r="E181" s="199" t="str">
        <f t="shared" ca="1" si="40"/>
        <v>Step 2</v>
      </c>
      <c r="F181" s="202" t="str">
        <f t="shared" ca="1" si="41"/>
        <v>Address root causes of weaknesses</v>
      </c>
      <c r="G181" s="202"/>
      <c r="H181" s="202"/>
      <c r="I181" s="202"/>
      <c r="J181" s="202"/>
      <c r="K181" s="202"/>
      <c r="L181" s="202"/>
      <c r="M181" s="202"/>
      <c r="N181" s="202"/>
      <c r="O181" s="202"/>
      <c r="P181" s="202"/>
      <c r="Q181" s="202"/>
      <c r="R181" s="215"/>
      <c r="S181" s="216"/>
      <c r="T181" s="217" t="str">
        <f t="shared" ca="1" si="43"/>
        <v>Step 2</v>
      </c>
      <c r="U181" s="216"/>
      <c r="V181" s="216"/>
      <c r="W181" s="81">
        <v>0</v>
      </c>
      <c r="X181" s="87">
        <f t="shared" ca="1" si="42"/>
        <v>0</v>
      </c>
      <c r="Y181" s="211" t="e">
        <f t="shared" si="36"/>
        <v>#N/A</v>
      </c>
      <c r="AI181" s="84"/>
    </row>
    <row r="182" spans="1:35" s="77" customFormat="1" ht="30" customHeight="1" x14ac:dyDescent="0.25">
      <c r="A182" s="68">
        <v>179</v>
      </c>
      <c r="B182" s="165" t="str">
        <f t="shared" ca="1" si="38"/>
        <v>C.2.01</v>
      </c>
      <c r="C182" s="20">
        <f t="shared" ca="1" si="39"/>
        <v>5</v>
      </c>
      <c r="D182" s="20"/>
      <c r="E182" s="71" t="str">
        <f t="shared" ca="1" si="40"/>
        <v>C.2.01</v>
      </c>
      <c r="F182" s="72" t="str">
        <f t="shared" ca="1" si="41"/>
        <v>Do follow-up activities include analysing and addressing the root causes of weaknesses identified in penetration testing?</v>
      </c>
      <c r="G182" s="168"/>
      <c r="H182" s="169"/>
      <c r="I182" s="169"/>
      <c r="J182" s="169"/>
      <c r="K182" s="169"/>
      <c r="L182" s="169"/>
      <c r="M182" s="169"/>
      <c r="N182" s="70"/>
      <c r="O182" s="70"/>
      <c r="P182" s="70"/>
      <c r="Q182" s="70"/>
      <c r="R182" s="218"/>
      <c r="S182" s="218"/>
      <c r="T182" s="217" t="str">
        <f t="shared" ca="1" si="43"/>
        <v>C.2.01</v>
      </c>
      <c r="U182" s="218"/>
      <c r="V182" s="218"/>
      <c r="W182" s="81">
        <v>2</v>
      </c>
      <c r="X182" s="87">
        <f t="shared" ca="1" si="42"/>
        <v>2</v>
      </c>
      <c r="Y182" s="211" t="str">
        <f t="shared" si="36"/>
        <v>x 2</v>
      </c>
      <c r="AI182" s="84"/>
    </row>
    <row r="183" spans="1:35" s="77" customFormat="1" ht="30" customHeight="1" x14ac:dyDescent="0.25">
      <c r="A183" s="68">
        <v>180</v>
      </c>
      <c r="B183" s="165" t="str">
        <f t="shared" ca="1" si="38"/>
        <v>C.2.02</v>
      </c>
      <c r="C183" s="20">
        <f t="shared" ca="1" si="39"/>
        <v>5</v>
      </c>
      <c r="D183" s="20"/>
      <c r="E183" s="71" t="str">
        <f t="shared" ca="1" si="40"/>
        <v>C.2.02</v>
      </c>
      <c r="F183" s="72" t="str">
        <f t="shared" ca="1" si="41"/>
        <v>Does root cause analysis include the full range of required actions?</v>
      </c>
      <c r="G183" s="168"/>
      <c r="H183" s="169"/>
      <c r="I183" s="169"/>
      <c r="J183" s="169"/>
      <c r="K183" s="169"/>
      <c r="L183" s="169"/>
      <c r="M183" s="169"/>
      <c r="N183" s="70"/>
      <c r="O183" s="70"/>
      <c r="P183" s="70"/>
      <c r="Q183" s="70"/>
      <c r="R183" s="218"/>
      <c r="S183" s="218"/>
      <c r="T183" s="217" t="str">
        <f t="shared" ca="1" si="43"/>
        <v>C.2.02</v>
      </c>
      <c r="U183" s="218"/>
      <c r="V183" s="218"/>
      <c r="W183" s="81">
        <v>4</v>
      </c>
      <c r="X183" s="87">
        <f t="shared" ca="1" si="42"/>
        <v>4</v>
      </c>
      <c r="Y183" s="211" t="str">
        <f t="shared" si="36"/>
        <v>x 4</v>
      </c>
      <c r="AI183" s="84"/>
    </row>
    <row r="184" spans="1:35" s="77" customFormat="1" ht="60" x14ac:dyDescent="0.25">
      <c r="A184" s="68">
        <v>181</v>
      </c>
      <c r="B184" s="165" t="str">
        <f t="shared" ca="1" si="38"/>
        <v/>
      </c>
      <c r="C184" s="20">
        <f t="shared" ca="1" si="39"/>
        <v>3</v>
      </c>
      <c r="D184" s="20"/>
      <c r="E184" s="71" t="str">
        <f t="shared" ca="1" si="40"/>
        <v/>
      </c>
      <c r="F184" s="166" t="str">
        <f t="shared" ca="1" si="41"/>
        <v>Root cause analysis should include: identifying the real root causes of exposures; evaluating potential business impact; identifying more endemic or fundamental root causes; qualified, experienced security professionals to help define corrective action strategy and plans.</v>
      </c>
      <c r="G184" s="168"/>
      <c r="H184" s="169"/>
      <c r="I184" s="169"/>
      <c r="J184" s="169"/>
      <c r="K184" s="169"/>
      <c r="L184" s="169"/>
      <c r="M184" s="169"/>
      <c r="N184" s="70"/>
      <c r="O184" s="70"/>
      <c r="P184" s="70"/>
      <c r="Q184" s="70"/>
      <c r="R184" s="218"/>
      <c r="S184" s="218"/>
      <c r="T184" s="217" t="str">
        <f t="shared" ca="1" si="43"/>
        <v/>
      </c>
      <c r="U184" s="218"/>
      <c r="V184" s="218"/>
      <c r="W184" s="80">
        <v>0</v>
      </c>
      <c r="X184" s="87">
        <f t="shared" ca="1" si="42"/>
        <v>0</v>
      </c>
      <c r="Y184" s="211" t="e">
        <f t="shared" si="36"/>
        <v>#N/A</v>
      </c>
      <c r="AH184" s="70"/>
      <c r="AI184" s="84"/>
    </row>
    <row r="185" spans="1:35" s="77" customFormat="1" ht="30" customHeight="1" x14ac:dyDescent="0.25">
      <c r="A185" s="68">
        <v>182</v>
      </c>
      <c r="B185" s="165" t="str">
        <f t="shared" ca="1" si="38"/>
        <v>C.3</v>
      </c>
      <c r="C185" s="20">
        <f t="shared" ca="1" si="39"/>
        <v>2</v>
      </c>
      <c r="D185" s="20"/>
      <c r="E185" s="199" t="str">
        <f t="shared" ca="1" si="40"/>
        <v>Step 3</v>
      </c>
      <c r="F185" s="202" t="str">
        <f t="shared" ca="1" si="41"/>
        <v>Initiate improvement programme</v>
      </c>
      <c r="G185" s="202"/>
      <c r="H185" s="202"/>
      <c r="I185" s="202"/>
      <c r="J185" s="202"/>
      <c r="K185" s="202"/>
      <c r="L185" s="202"/>
      <c r="M185" s="202"/>
      <c r="N185" s="202"/>
      <c r="O185" s="202"/>
      <c r="P185" s="202"/>
      <c r="Q185" s="202"/>
      <c r="R185" s="215"/>
      <c r="S185" s="216"/>
      <c r="T185" s="217" t="str">
        <f t="shared" ca="1" si="43"/>
        <v>Step 3</v>
      </c>
      <c r="U185" s="216"/>
      <c r="V185" s="216"/>
      <c r="W185" s="81">
        <v>0</v>
      </c>
      <c r="X185" s="87">
        <f t="shared" ca="1" si="42"/>
        <v>0</v>
      </c>
      <c r="Y185" s="211" t="e">
        <f t="shared" si="36"/>
        <v>#N/A</v>
      </c>
      <c r="AI185" s="84"/>
    </row>
    <row r="186" spans="1:35" s="77" customFormat="1" ht="30" customHeight="1" x14ac:dyDescent="0.25">
      <c r="A186" s="68">
        <v>183</v>
      </c>
      <c r="B186" s="165" t="str">
        <f t="shared" ca="1" si="38"/>
        <v>C.3.01</v>
      </c>
      <c r="C186" s="20">
        <f t="shared" ca="1" si="39"/>
        <v>5</v>
      </c>
      <c r="D186" s="20"/>
      <c r="E186" s="71" t="str">
        <f t="shared" ca="1" si="40"/>
        <v>C.3.01</v>
      </c>
      <c r="F186" s="72" t="str">
        <f t="shared" ca="1" si="41"/>
        <v>On completion of penetration tests, is an improvement programme initiated?</v>
      </c>
      <c r="G186" s="168"/>
      <c r="H186" s="169"/>
      <c r="I186" s="169"/>
      <c r="J186" s="169"/>
      <c r="K186" s="169"/>
      <c r="L186" s="169"/>
      <c r="M186" s="169"/>
      <c r="N186" s="70"/>
      <c r="O186" s="70"/>
      <c r="P186" s="70"/>
      <c r="Q186" s="70"/>
      <c r="R186" s="218"/>
      <c r="S186" s="218"/>
      <c r="T186" s="217" t="str">
        <f t="shared" ca="1" si="43"/>
        <v>C.3.01</v>
      </c>
      <c r="U186" s="218"/>
      <c r="V186" s="218"/>
      <c r="W186" s="81">
        <v>1</v>
      </c>
      <c r="X186" s="87">
        <f t="shared" ca="1" si="42"/>
        <v>1</v>
      </c>
      <c r="Y186" s="211" t="str">
        <f t="shared" si="36"/>
        <v>x 1</v>
      </c>
      <c r="AI186" s="84"/>
    </row>
    <row r="187" spans="1:35" s="77" customFormat="1" ht="30" customHeight="1" x14ac:dyDescent="0.25">
      <c r="A187" s="68">
        <v>184</v>
      </c>
      <c r="B187" s="165" t="str">
        <f t="shared" ca="1" si="38"/>
        <v>C.3.02</v>
      </c>
      <c r="C187" s="20">
        <f t="shared" ca="1" si="39"/>
        <v>5</v>
      </c>
      <c r="D187" s="20"/>
      <c r="E187" s="71" t="str">
        <f t="shared" ca="1" si="40"/>
        <v>C.3.02</v>
      </c>
      <c r="F187" s="72" t="str">
        <f t="shared" ca="1" si="41"/>
        <v>Is the improvement programme carried out in a structured / systematic manner?</v>
      </c>
      <c r="G187" s="168"/>
      <c r="H187" s="169"/>
      <c r="I187" s="169"/>
      <c r="J187" s="169"/>
      <c r="K187" s="169"/>
      <c r="L187" s="169"/>
      <c r="M187" s="169"/>
      <c r="N187" s="70"/>
      <c r="O187" s="70"/>
      <c r="P187" s="70"/>
      <c r="Q187" s="70"/>
      <c r="R187" s="218"/>
      <c r="S187" s="218"/>
      <c r="T187" s="217" t="str">
        <f t="shared" ca="1" si="43"/>
        <v>C.3.02</v>
      </c>
      <c r="U187" s="218"/>
      <c r="V187" s="218"/>
      <c r="W187" s="81">
        <v>3</v>
      </c>
      <c r="X187" s="87">
        <f t="shared" ca="1" si="42"/>
        <v>3</v>
      </c>
      <c r="Y187" s="211" t="str">
        <f t="shared" si="36"/>
        <v>x 3</v>
      </c>
      <c r="AI187" s="84"/>
    </row>
    <row r="188" spans="1:35" s="77" customFormat="1" ht="30" customHeight="1" x14ac:dyDescent="0.25">
      <c r="A188" s="68">
        <v>185</v>
      </c>
      <c r="B188" s="165" t="str">
        <f t="shared" ca="1" si="38"/>
        <v>C.3.03</v>
      </c>
      <c r="C188" s="20">
        <f t="shared" ca="1" si="39"/>
        <v>5</v>
      </c>
      <c r="D188" s="20"/>
      <c r="E188" s="71" t="str">
        <f t="shared" ca="1" si="40"/>
        <v>C.3.03</v>
      </c>
      <c r="F188" s="72" t="str">
        <f t="shared" ca="1" si="41"/>
        <v>Does your improvement programme include all key elements?</v>
      </c>
      <c r="G188" s="168"/>
      <c r="H188" s="169"/>
      <c r="I188" s="169"/>
      <c r="J188" s="169"/>
      <c r="K188" s="169"/>
      <c r="L188" s="169"/>
      <c r="M188" s="169"/>
      <c r="N188" s="70"/>
      <c r="O188" s="70"/>
      <c r="P188" s="70"/>
      <c r="Q188" s="70"/>
      <c r="R188" s="218"/>
      <c r="S188" s="218"/>
      <c r="T188" s="217" t="str">
        <f t="shared" ca="1" si="43"/>
        <v>C.3.03</v>
      </c>
      <c r="U188" s="218"/>
      <c r="V188" s="218"/>
      <c r="W188" s="81">
        <v>5</v>
      </c>
      <c r="X188" s="87">
        <f t="shared" ca="1" si="42"/>
        <v>5</v>
      </c>
      <c r="Y188" s="211" t="str">
        <f t="shared" si="36"/>
        <v>x 5</v>
      </c>
      <c r="AI188" s="84"/>
    </row>
    <row r="189" spans="1:35" s="77" customFormat="1" ht="60" x14ac:dyDescent="0.25">
      <c r="A189" s="68">
        <v>186</v>
      </c>
      <c r="B189" s="165" t="str">
        <f t="shared" ca="1" si="38"/>
        <v/>
      </c>
      <c r="C189" s="20">
        <f t="shared" ca="1" si="39"/>
        <v>3</v>
      </c>
      <c r="D189" s="20"/>
      <c r="E189" s="71" t="str">
        <f t="shared" ca="1" si="40"/>
        <v/>
      </c>
      <c r="F189" s="166" t="str">
        <f t="shared" ca="1" si="41"/>
        <v>The improvement programme should address root causes of weakness; evaluate penetration testing effectiveness; identify lessons learned; apply good practice enterprise-wide; create and monitor action plans; and agree approaches for future testing.</v>
      </c>
      <c r="G189" s="168"/>
      <c r="H189" s="169"/>
      <c r="I189" s="169"/>
      <c r="J189" s="169"/>
      <c r="K189" s="169"/>
      <c r="L189" s="169"/>
      <c r="M189" s="169"/>
      <c r="N189" s="70"/>
      <c r="O189" s="70"/>
      <c r="P189" s="70"/>
      <c r="Q189" s="70"/>
      <c r="R189" s="218"/>
      <c r="S189" s="218"/>
      <c r="T189" s="217" t="str">
        <f t="shared" ca="1" si="43"/>
        <v/>
      </c>
      <c r="U189" s="218"/>
      <c r="V189" s="218"/>
      <c r="W189" s="80">
        <v>0</v>
      </c>
      <c r="X189" s="87">
        <f t="shared" ca="1" si="42"/>
        <v>0</v>
      </c>
      <c r="Y189" s="211" t="e">
        <f t="shared" si="36"/>
        <v>#N/A</v>
      </c>
      <c r="AH189" s="70"/>
      <c r="AI189" s="84"/>
    </row>
    <row r="190" spans="1:35" s="77" customFormat="1" ht="30" customHeight="1" x14ac:dyDescent="0.25">
      <c r="A190" s="68">
        <v>187</v>
      </c>
      <c r="B190" s="165" t="str">
        <f t="shared" ca="1" si="38"/>
        <v>C.4</v>
      </c>
      <c r="C190" s="20">
        <f t="shared" ca="1" si="39"/>
        <v>2</v>
      </c>
      <c r="D190" s="20"/>
      <c r="E190" s="199" t="str">
        <f t="shared" ca="1" si="40"/>
        <v>Step 4</v>
      </c>
      <c r="F190" s="202" t="str">
        <f t="shared" ca="1" si="41"/>
        <v>Evaluate penetration testing effectiveness</v>
      </c>
      <c r="G190" s="202"/>
      <c r="H190" s="202"/>
      <c r="I190" s="202"/>
      <c r="J190" s="202"/>
      <c r="K190" s="202"/>
      <c r="L190" s="202"/>
      <c r="M190" s="202"/>
      <c r="N190" s="202"/>
      <c r="O190" s="202"/>
      <c r="P190" s="202"/>
      <c r="Q190" s="202"/>
      <c r="R190" s="215"/>
      <c r="S190" s="216"/>
      <c r="T190" s="217" t="str">
        <f t="shared" ca="1" si="43"/>
        <v>Step 4</v>
      </c>
      <c r="U190" s="216"/>
      <c r="V190" s="216"/>
      <c r="W190" s="81">
        <v>0</v>
      </c>
      <c r="X190" s="87">
        <f t="shared" ca="1" si="42"/>
        <v>0</v>
      </c>
      <c r="Y190" s="211" t="e">
        <f t="shared" si="36"/>
        <v>#N/A</v>
      </c>
      <c r="AI190" s="84"/>
    </row>
    <row r="191" spans="1:35" s="77" customFormat="1" ht="30" customHeight="1" x14ac:dyDescent="0.25">
      <c r="A191" s="68">
        <v>188</v>
      </c>
      <c r="B191" s="165" t="str">
        <f t="shared" ca="1" si="38"/>
        <v>C.4.01</v>
      </c>
      <c r="C191" s="20">
        <f t="shared" ca="1" si="39"/>
        <v>5</v>
      </c>
      <c r="D191" s="20"/>
      <c r="E191" s="71" t="str">
        <f t="shared" ca="1" si="40"/>
        <v>C.4.01</v>
      </c>
      <c r="F191" s="72" t="str">
        <f t="shared" ca="1" si="41"/>
        <v>Is the effectiveness of your penetration testing evaluated?</v>
      </c>
      <c r="G191" s="168"/>
      <c r="H191" s="169"/>
      <c r="I191" s="169"/>
      <c r="J191" s="169"/>
      <c r="K191" s="169"/>
      <c r="L191" s="169"/>
      <c r="M191" s="169"/>
      <c r="N191" s="70"/>
      <c r="O191" s="70"/>
      <c r="P191" s="70"/>
      <c r="Q191" s="70"/>
      <c r="R191" s="218"/>
      <c r="S191" s="218"/>
      <c r="T191" s="217"/>
      <c r="U191" s="218"/>
      <c r="V191" s="218"/>
      <c r="W191" s="81">
        <v>1</v>
      </c>
      <c r="X191" s="87">
        <f t="shared" ca="1" si="42"/>
        <v>1</v>
      </c>
      <c r="Y191" s="211" t="str">
        <f t="shared" si="36"/>
        <v>x 1</v>
      </c>
      <c r="AI191" s="84"/>
    </row>
    <row r="192" spans="1:35" s="77" customFormat="1" ht="30" customHeight="1" x14ac:dyDescent="0.25">
      <c r="A192" s="68">
        <v>189</v>
      </c>
      <c r="B192" s="165" t="str">
        <f t="shared" ca="1" si="38"/>
        <v>C.4.02</v>
      </c>
      <c r="C192" s="20">
        <f t="shared" ca="1" si="39"/>
        <v>5</v>
      </c>
      <c r="D192" s="20"/>
      <c r="E192" s="71" t="str">
        <f t="shared" ca="1" si="40"/>
        <v>C.4.02</v>
      </c>
      <c r="F192" s="72" t="str">
        <f t="shared" ca="1" si="41"/>
        <v>Does evaluation of test effectiveness cover the full range of required actions?</v>
      </c>
      <c r="G192" s="168"/>
      <c r="H192" s="169"/>
      <c r="I192" s="169"/>
      <c r="J192" s="169"/>
      <c r="K192" s="169"/>
      <c r="L192" s="169"/>
      <c r="M192" s="169"/>
      <c r="N192" s="70"/>
      <c r="O192" s="70"/>
      <c r="P192" s="70"/>
      <c r="Q192" s="70"/>
      <c r="R192" s="218"/>
      <c r="S192" s="218"/>
      <c r="T192" s="217" t="str">
        <f t="shared" ref="T192:T205" ca="1" si="44">E192</f>
        <v>C.4.02</v>
      </c>
      <c r="U192" s="218"/>
      <c r="V192" s="218"/>
      <c r="W192" s="81">
        <v>5</v>
      </c>
      <c r="X192" s="87">
        <f t="shared" ca="1" si="42"/>
        <v>5</v>
      </c>
      <c r="Y192" s="211" t="str">
        <f t="shared" si="36"/>
        <v>x 5</v>
      </c>
      <c r="AI192" s="84"/>
    </row>
    <row r="193" spans="1:35" s="77" customFormat="1" ht="75" x14ac:dyDescent="0.25">
      <c r="A193" s="68">
        <v>190</v>
      </c>
      <c r="B193" s="165" t="str">
        <f t="shared" ca="1" si="38"/>
        <v/>
      </c>
      <c r="C193" s="20">
        <f t="shared" ca="1" si="39"/>
        <v>3</v>
      </c>
      <c r="D193" s="20"/>
      <c r="E193" s="71" t="str">
        <f t="shared" ca="1" si="40"/>
        <v/>
      </c>
      <c r="F193" s="166" t="str">
        <f t="shared" ca="1" si="41"/>
        <v>Evaluation of the effectiveness of penetration testing should include: determining if objectives were met; assessing if sufficient weaknesses were identified; reviewing exploitations undertaken; comparing test results to external benchmarks; and determining if value for money was obtained from your service provider.</v>
      </c>
      <c r="G193" s="168"/>
      <c r="H193" s="169"/>
      <c r="I193" s="169"/>
      <c r="J193" s="169"/>
      <c r="K193" s="169"/>
      <c r="L193" s="169"/>
      <c r="M193" s="169"/>
      <c r="N193" s="70"/>
      <c r="O193" s="70"/>
      <c r="P193" s="70"/>
      <c r="Q193" s="70"/>
      <c r="R193" s="218"/>
      <c r="S193" s="218"/>
      <c r="T193" s="217" t="str">
        <f t="shared" ca="1" si="44"/>
        <v/>
      </c>
      <c r="U193" s="218"/>
      <c r="V193" s="218"/>
      <c r="W193" s="80">
        <v>0</v>
      </c>
      <c r="X193" s="87">
        <f t="shared" ca="1" si="42"/>
        <v>0</v>
      </c>
      <c r="Y193" s="211" t="e">
        <f t="shared" si="36"/>
        <v>#N/A</v>
      </c>
      <c r="AH193" s="70"/>
      <c r="AI193" s="84"/>
    </row>
    <row r="194" spans="1:35" s="77" customFormat="1" ht="30" customHeight="1" x14ac:dyDescent="0.25">
      <c r="A194" s="68">
        <v>191</v>
      </c>
      <c r="B194" s="165" t="str">
        <f t="shared" ca="1" si="38"/>
        <v>C.5</v>
      </c>
      <c r="C194" s="20">
        <f t="shared" ca="1" si="39"/>
        <v>2</v>
      </c>
      <c r="D194" s="20"/>
      <c r="E194" s="199" t="str">
        <f t="shared" ca="1" si="40"/>
        <v>Step 5</v>
      </c>
      <c r="F194" s="202" t="str">
        <f t="shared" ca="1" si="41"/>
        <v>Build on lessons learned</v>
      </c>
      <c r="G194" s="202"/>
      <c r="H194" s="202"/>
      <c r="I194" s="202"/>
      <c r="J194" s="202"/>
      <c r="K194" s="202"/>
      <c r="L194" s="202"/>
      <c r="M194" s="202"/>
      <c r="N194" s="202"/>
      <c r="O194" s="202"/>
      <c r="P194" s="202"/>
      <c r="Q194" s="202"/>
      <c r="R194" s="215"/>
      <c r="S194" s="216"/>
      <c r="T194" s="217" t="str">
        <f t="shared" ca="1" si="44"/>
        <v>Step 5</v>
      </c>
      <c r="U194" s="216"/>
      <c r="V194" s="216"/>
      <c r="W194" s="81">
        <v>0</v>
      </c>
      <c r="X194" s="87">
        <f t="shared" ca="1" si="42"/>
        <v>0</v>
      </c>
      <c r="Y194" s="211" t="e">
        <f t="shared" si="36"/>
        <v>#N/A</v>
      </c>
      <c r="AI194" s="84"/>
    </row>
    <row r="195" spans="1:35" s="77" customFormat="1" ht="30" customHeight="1" x14ac:dyDescent="0.25">
      <c r="A195" s="68">
        <v>192</v>
      </c>
      <c r="B195" s="165" t="str">
        <f t="shared" ca="1" si="38"/>
        <v>C.5.01</v>
      </c>
      <c r="C195" s="20">
        <f t="shared" ca="1" si="39"/>
        <v>5</v>
      </c>
      <c r="D195" s="20"/>
      <c r="E195" s="71" t="str">
        <f t="shared" ca="1" si="40"/>
        <v>C.5.01</v>
      </c>
      <c r="F195" s="72" t="str">
        <f t="shared" ca="1" si="41"/>
        <v>Does your penetration testing approach include identifying lessons learned, disseminating them to relevant stakeholders and acting on them?</v>
      </c>
      <c r="G195" s="168"/>
      <c r="H195" s="169"/>
      <c r="I195" s="169"/>
      <c r="J195" s="169"/>
      <c r="K195" s="169"/>
      <c r="L195" s="169"/>
      <c r="M195" s="169"/>
      <c r="N195" s="70"/>
      <c r="O195" s="70"/>
      <c r="P195" s="70"/>
      <c r="Q195" s="70"/>
      <c r="R195" s="218"/>
      <c r="S195" s="218"/>
      <c r="T195" s="217" t="str">
        <f t="shared" ca="1" si="44"/>
        <v>C.5.01</v>
      </c>
      <c r="U195" s="218"/>
      <c r="V195" s="218"/>
      <c r="W195" s="81">
        <v>1</v>
      </c>
      <c r="X195" s="87">
        <f t="shared" ca="1" si="42"/>
        <v>1</v>
      </c>
      <c r="Y195" s="211" t="str">
        <f t="shared" si="36"/>
        <v>x 1</v>
      </c>
      <c r="AI195" s="84"/>
    </row>
    <row r="196" spans="1:35" s="77" customFormat="1" ht="30" customHeight="1" x14ac:dyDescent="0.25">
      <c r="A196" s="68">
        <v>193</v>
      </c>
      <c r="B196" s="165" t="str">
        <f t="shared" ca="1" si="38"/>
        <v>C.5.02</v>
      </c>
      <c r="C196" s="20">
        <f t="shared" ca="1" si="39"/>
        <v>5</v>
      </c>
      <c r="D196" s="20"/>
      <c r="E196" s="71" t="str">
        <f t="shared" ca="1" si="40"/>
        <v>C.5.02</v>
      </c>
      <c r="F196" s="72" t="str">
        <f t="shared" ca="1" si="41"/>
        <v>Are lessons learned used to help in planning future tests, and provide feedback to service providers to help them improve processes?</v>
      </c>
      <c r="G196" s="168"/>
      <c r="H196" s="169"/>
      <c r="I196" s="169"/>
      <c r="J196" s="169"/>
      <c r="K196" s="169"/>
      <c r="L196" s="169"/>
      <c r="M196" s="169"/>
      <c r="N196" s="70"/>
      <c r="O196" s="70"/>
      <c r="P196" s="70"/>
      <c r="Q196" s="70"/>
      <c r="R196" s="218"/>
      <c r="S196" s="218"/>
      <c r="T196" s="217" t="str">
        <f t="shared" ca="1" si="44"/>
        <v>C.5.02</v>
      </c>
      <c r="U196" s="218"/>
      <c r="V196" s="218"/>
      <c r="W196" s="81">
        <v>5</v>
      </c>
      <c r="X196" s="87">
        <f t="shared" ca="1" si="42"/>
        <v>5</v>
      </c>
      <c r="Y196" s="211" t="str">
        <f t="shared" ref="Y196:Y205" si="45">VLOOKUP(W196,weighting_response_reverse,2,FALSE)</f>
        <v>x 5</v>
      </c>
      <c r="AI196" s="84"/>
    </row>
    <row r="197" spans="1:35" s="77" customFormat="1" ht="45" x14ac:dyDescent="0.25">
      <c r="A197" s="68">
        <v>194</v>
      </c>
      <c r="B197" s="165" t="str">
        <f t="shared" ca="1" si="38"/>
        <v>C.5.03</v>
      </c>
      <c r="C197" s="20">
        <f t="shared" ca="1" si="39"/>
        <v>5</v>
      </c>
      <c r="D197" s="20"/>
      <c r="E197" s="71" t="str">
        <f t="shared" ca="1" si="40"/>
        <v>C.5.03</v>
      </c>
      <c r="F197" s="72" t="str">
        <f t="shared" ca="1" si="41"/>
        <v>When addressing the weaknesses identified in an environment, are good practices identified (including fixes) and then applied to a wide range of other environments?</v>
      </c>
      <c r="G197" s="168"/>
      <c r="H197" s="169"/>
      <c r="I197" s="169"/>
      <c r="J197" s="169"/>
      <c r="K197" s="169"/>
      <c r="L197" s="169"/>
      <c r="M197" s="169"/>
      <c r="N197" s="70"/>
      <c r="O197" s="70"/>
      <c r="P197" s="70"/>
      <c r="Q197" s="70"/>
      <c r="R197" s="218"/>
      <c r="S197" s="218"/>
      <c r="T197" s="217" t="str">
        <f t="shared" ca="1" si="44"/>
        <v>C.5.03</v>
      </c>
      <c r="U197" s="218"/>
      <c r="V197" s="218"/>
      <c r="W197" s="81">
        <v>1</v>
      </c>
      <c r="X197" s="87">
        <f t="shared" ca="1" si="42"/>
        <v>1</v>
      </c>
      <c r="Y197" s="211" t="str">
        <f t="shared" si="45"/>
        <v>x 1</v>
      </c>
      <c r="AI197" s="84"/>
    </row>
    <row r="198" spans="1:35" s="77" customFormat="1" ht="60" x14ac:dyDescent="0.25">
      <c r="A198" s="68">
        <v>195</v>
      </c>
      <c r="B198" s="165" t="str">
        <f t="shared" ca="1" si="38"/>
        <v>C.5.04</v>
      </c>
      <c r="C198" s="20">
        <f t="shared" ca="1" si="39"/>
        <v>5</v>
      </c>
      <c r="D198" s="20"/>
      <c r="E198" s="71" t="str">
        <f t="shared" ca="1" si="40"/>
        <v>C.5.04</v>
      </c>
      <c r="F198" s="72" t="str">
        <f t="shared" ca="1" si="41"/>
        <v>Are good practices rolled out by:  performing trend analysis across multiple systems; applying lessons learnt during a penetration test of one application to similar applications; and fixing root causes endemically?</v>
      </c>
      <c r="G198" s="168"/>
      <c r="H198" s="169"/>
      <c r="I198" s="169"/>
      <c r="J198" s="169"/>
      <c r="K198" s="169"/>
      <c r="L198" s="169"/>
      <c r="M198" s="169"/>
      <c r="N198" s="70"/>
      <c r="O198" s="70"/>
      <c r="P198" s="70"/>
      <c r="Q198" s="70"/>
      <c r="R198" s="218"/>
      <c r="S198" s="218"/>
      <c r="T198" s="217" t="str">
        <f t="shared" ca="1" si="44"/>
        <v>C.5.04</v>
      </c>
      <c r="U198" s="218"/>
      <c r="V198" s="218"/>
      <c r="W198" s="81">
        <v>5</v>
      </c>
      <c r="X198" s="87">
        <f t="shared" ca="1" si="42"/>
        <v>5</v>
      </c>
      <c r="Y198" s="211" t="str">
        <f t="shared" si="45"/>
        <v>x 5</v>
      </c>
      <c r="AI198" s="84"/>
    </row>
    <row r="199" spans="1:35" s="77" customFormat="1" ht="30" customHeight="1" x14ac:dyDescent="0.25">
      <c r="A199" s="68">
        <v>196</v>
      </c>
      <c r="B199" s="165" t="str">
        <f t="shared" ca="1" si="38"/>
        <v>C.6</v>
      </c>
      <c r="C199" s="20">
        <f t="shared" ca="1" si="39"/>
        <v>2</v>
      </c>
      <c r="D199" s="20"/>
      <c r="E199" s="199" t="str">
        <f t="shared" ca="1" si="40"/>
        <v>Step 6</v>
      </c>
      <c r="F199" s="202" t="str">
        <f t="shared" ca="1" si="41"/>
        <v>Create and monitor action plans</v>
      </c>
      <c r="G199" s="202"/>
      <c r="H199" s="202"/>
      <c r="I199" s="202"/>
      <c r="J199" s="202"/>
      <c r="K199" s="202"/>
      <c r="L199" s="202"/>
      <c r="M199" s="202"/>
      <c r="N199" s="202"/>
      <c r="O199" s="202"/>
      <c r="P199" s="202"/>
      <c r="Q199" s="202"/>
      <c r="R199" s="215"/>
      <c r="S199" s="216"/>
      <c r="T199" s="217" t="str">
        <f t="shared" ca="1" si="44"/>
        <v>Step 6</v>
      </c>
      <c r="U199" s="216"/>
      <c r="V199" s="216"/>
      <c r="W199" s="81">
        <v>0</v>
      </c>
      <c r="X199" s="87">
        <f t="shared" ca="1" si="42"/>
        <v>0</v>
      </c>
      <c r="Y199" s="211" t="e">
        <f t="shared" si="45"/>
        <v>#N/A</v>
      </c>
      <c r="AI199" s="84"/>
    </row>
    <row r="200" spans="1:35" s="77" customFormat="1" ht="30" customHeight="1" x14ac:dyDescent="0.25">
      <c r="A200" s="68">
        <v>197</v>
      </c>
      <c r="B200" s="165" t="str">
        <f t="shared" ref="B200:B205" ca="1" si="46">VLOOKUP(A200,Contents_Text,2,FALSE)</f>
        <v>C.6.01</v>
      </c>
      <c r="C200" s="20">
        <f t="shared" ref="C200:C205" ca="1" si="47">VLOOKUP(A200,Contents_Text,15,FALSE)</f>
        <v>5</v>
      </c>
      <c r="D200" s="20"/>
      <c r="E200" s="71" t="str">
        <f t="shared" ref="E200:E205" ca="1" si="48">IF(C200=1,"Stage "&amp;B200,IF(C200=2,"Step "&amp;VLOOKUP(A200,Contents_Text,4,FALSE),B200))</f>
        <v>C.6.01</v>
      </c>
      <c r="F200" s="72" t="str">
        <f t="shared" ref="F200:F205" ca="1" si="49">VLOOKUP(A200,Contents_Text,7,FALSE)</f>
        <v>Are action plans created to help act upon follow-up activities undertaken?</v>
      </c>
      <c r="G200" s="168"/>
      <c r="H200" s="169"/>
      <c r="I200" s="169"/>
      <c r="J200" s="169"/>
      <c r="K200" s="169"/>
      <c r="L200" s="169"/>
      <c r="M200" s="169"/>
      <c r="N200" s="70"/>
      <c r="O200" s="70"/>
      <c r="P200" s="70"/>
      <c r="Q200" s="70"/>
      <c r="R200" s="218"/>
      <c r="S200" s="218"/>
      <c r="T200" s="217" t="str">
        <f t="shared" ca="1" si="44"/>
        <v>C.6.01</v>
      </c>
      <c r="U200" s="218"/>
      <c r="V200" s="218"/>
      <c r="W200" s="81">
        <v>1</v>
      </c>
      <c r="X200" s="87">
        <f t="shared" ref="X200:X205" ca="1" si="50">VLOOKUP(A200,Contents_Text,8,FALSE)</f>
        <v>1</v>
      </c>
      <c r="Y200" s="211" t="str">
        <f t="shared" si="45"/>
        <v>x 1</v>
      </c>
      <c r="AI200" s="84"/>
    </row>
    <row r="201" spans="1:35" s="77" customFormat="1" ht="45" x14ac:dyDescent="0.25">
      <c r="A201" s="68">
        <v>198</v>
      </c>
      <c r="B201" s="165" t="str">
        <f t="shared" ca="1" si="46"/>
        <v>C.6.02</v>
      </c>
      <c r="C201" s="20">
        <f t="shared" ca="1" si="47"/>
        <v>5</v>
      </c>
      <c r="D201" s="20"/>
      <c r="E201" s="71" t="str">
        <f t="shared" ca="1" si="48"/>
        <v>C.6.02</v>
      </c>
      <c r="F201" s="72" t="str">
        <f t="shared" ca="1" si="49"/>
        <v>Are action plans formally documented, formulated by competent technical experts, reviewed by business management and signed-off by senior management?</v>
      </c>
      <c r="G201" s="168"/>
      <c r="H201" s="169"/>
      <c r="I201" s="169"/>
      <c r="J201" s="169"/>
      <c r="K201" s="169"/>
      <c r="L201" s="169"/>
      <c r="M201" s="169"/>
      <c r="N201" s="70"/>
      <c r="O201" s="70"/>
      <c r="P201" s="70"/>
      <c r="Q201" s="70"/>
      <c r="R201" s="218"/>
      <c r="S201" s="218"/>
      <c r="T201" s="217" t="str">
        <f t="shared" ca="1" si="44"/>
        <v>C.6.02</v>
      </c>
      <c r="U201" s="218"/>
      <c r="V201" s="218"/>
      <c r="W201" s="81">
        <v>3</v>
      </c>
      <c r="X201" s="87">
        <f t="shared" ca="1" si="50"/>
        <v>3</v>
      </c>
      <c r="Y201" s="211" t="str">
        <f t="shared" si="45"/>
        <v>x 3</v>
      </c>
      <c r="AI201" s="84"/>
    </row>
    <row r="202" spans="1:35" s="77" customFormat="1" ht="45" x14ac:dyDescent="0.25">
      <c r="A202" s="68">
        <v>199</v>
      </c>
      <c r="B202" s="165" t="str">
        <f t="shared" ca="1" si="46"/>
        <v>C.6.03</v>
      </c>
      <c r="C202" s="20">
        <f t="shared" ca="1" si="47"/>
        <v>5</v>
      </c>
      <c r="D202" s="20"/>
      <c r="E202" s="71" t="str">
        <f t="shared" ca="1" si="48"/>
        <v>C.6.03</v>
      </c>
      <c r="F202" s="72" t="str">
        <f t="shared" ca="1" si="49"/>
        <v>Do action plans outline all the relevant actions to be taken to prevent vulnerabilities identified through testing from recurring and help improve the overall information security programme</v>
      </c>
      <c r="G202" s="168"/>
      <c r="H202" s="169"/>
      <c r="I202" s="169"/>
      <c r="J202" s="169"/>
      <c r="K202" s="169"/>
      <c r="L202" s="169"/>
      <c r="M202" s="169"/>
      <c r="N202" s="70"/>
      <c r="O202" s="70"/>
      <c r="P202" s="70"/>
      <c r="Q202" s="70"/>
      <c r="R202" s="218"/>
      <c r="S202" s="218"/>
      <c r="T202" s="217" t="str">
        <f t="shared" ca="1" si="44"/>
        <v>C.6.03</v>
      </c>
      <c r="U202" s="218"/>
      <c r="V202" s="218"/>
      <c r="W202" s="81">
        <v>3</v>
      </c>
      <c r="X202" s="87">
        <f t="shared" ca="1" si="50"/>
        <v>3</v>
      </c>
      <c r="Y202" s="211" t="str">
        <f t="shared" si="45"/>
        <v>x 3</v>
      </c>
      <c r="AI202" s="84"/>
    </row>
    <row r="203" spans="1:35" s="77" customFormat="1" ht="45" x14ac:dyDescent="0.25">
      <c r="A203" s="68">
        <v>200</v>
      </c>
      <c r="B203" s="165" t="str">
        <f t="shared" ca="1" si="46"/>
        <v>C.6.04</v>
      </c>
      <c r="C203" s="20">
        <f t="shared" ca="1" si="47"/>
        <v>5</v>
      </c>
      <c r="D203" s="20"/>
      <c r="E203" s="71" t="str">
        <f t="shared" ca="1" si="48"/>
        <v>C.6.04</v>
      </c>
      <c r="F203" s="72" t="str">
        <f t="shared" ca="1" si="49"/>
        <v>Do action plans include a brief description of each action, including their priority and category; individuals responsible and accountable for each action; and target dates for completion</v>
      </c>
      <c r="G203" s="168"/>
      <c r="H203" s="169"/>
      <c r="I203" s="169"/>
      <c r="J203" s="169"/>
      <c r="K203" s="169"/>
      <c r="L203" s="169"/>
      <c r="M203" s="169"/>
      <c r="N203" s="70"/>
      <c r="O203" s="70"/>
      <c r="P203" s="70"/>
      <c r="Q203" s="70"/>
      <c r="R203" s="218"/>
      <c r="S203" s="218"/>
      <c r="T203" s="217" t="str">
        <f t="shared" ca="1" si="44"/>
        <v>C.6.04</v>
      </c>
      <c r="U203" s="218"/>
      <c r="V203" s="218"/>
      <c r="W203" s="81">
        <v>3</v>
      </c>
      <c r="X203" s="87">
        <f t="shared" ca="1" si="50"/>
        <v>3</v>
      </c>
      <c r="Y203" s="211" t="str">
        <f t="shared" si="45"/>
        <v>x 3</v>
      </c>
      <c r="AI203" s="84"/>
    </row>
    <row r="204" spans="1:35" s="77" customFormat="1" ht="30" customHeight="1" x14ac:dyDescent="0.25">
      <c r="A204" s="68">
        <v>201</v>
      </c>
      <c r="B204" s="165" t="str">
        <f t="shared" ca="1" si="46"/>
        <v>C.6.05</v>
      </c>
      <c r="C204" s="20">
        <f t="shared" ca="1" si="47"/>
        <v>5</v>
      </c>
      <c r="D204" s="20"/>
      <c r="E204" s="71" t="str">
        <f t="shared" ca="1" si="48"/>
        <v>C.6.05</v>
      </c>
      <c r="F204" s="72" t="str">
        <f t="shared" ca="1" si="49"/>
        <v>Are action plans implemented effectively and on a timely basis?</v>
      </c>
      <c r="G204" s="168"/>
      <c r="H204" s="169"/>
      <c r="I204" s="169"/>
      <c r="J204" s="169"/>
      <c r="K204" s="169"/>
      <c r="L204" s="169"/>
      <c r="M204" s="169"/>
      <c r="N204" s="70"/>
      <c r="O204" s="70"/>
      <c r="P204" s="70"/>
      <c r="Q204" s="70"/>
      <c r="R204" s="218"/>
      <c r="S204" s="218"/>
      <c r="T204" s="217" t="str">
        <f t="shared" ca="1" si="44"/>
        <v>C.6.05</v>
      </c>
      <c r="U204" s="218"/>
      <c r="V204" s="218"/>
      <c r="W204" s="81">
        <v>4</v>
      </c>
      <c r="X204" s="87">
        <f t="shared" ca="1" si="50"/>
        <v>4</v>
      </c>
      <c r="Y204" s="211" t="str">
        <f t="shared" si="45"/>
        <v>x 4</v>
      </c>
      <c r="AI204" s="84"/>
    </row>
    <row r="205" spans="1:35" s="77" customFormat="1" ht="45" x14ac:dyDescent="0.25">
      <c r="A205" s="68">
        <v>202</v>
      </c>
      <c r="B205" s="165" t="str">
        <f t="shared" ca="1" si="46"/>
        <v>C.6.06</v>
      </c>
      <c r="C205" s="20">
        <f t="shared" ca="1" si="47"/>
        <v>5</v>
      </c>
      <c r="D205" s="20"/>
      <c r="E205" s="71" t="str">
        <f t="shared" ca="1" si="48"/>
        <v>C.6.06</v>
      </c>
      <c r="F205" s="72" t="str">
        <f t="shared" ca="1" si="49"/>
        <v>Are action plans monitored on a regular basis to: ensure progress is being made; highlight any delays or difficulties being experienced; and reassess the level of risk?</v>
      </c>
      <c r="G205" s="168"/>
      <c r="H205" s="169"/>
      <c r="I205" s="169"/>
      <c r="J205" s="169"/>
      <c r="K205" s="169"/>
      <c r="L205" s="169"/>
      <c r="M205" s="169"/>
      <c r="N205" s="70"/>
      <c r="O205" s="70"/>
      <c r="P205" s="70"/>
      <c r="Q205" s="70"/>
      <c r="R205" s="218"/>
      <c r="S205" s="218"/>
      <c r="T205" s="217" t="str">
        <f t="shared" ca="1" si="44"/>
        <v>C.6.06</v>
      </c>
      <c r="U205" s="218"/>
      <c r="V205" s="218"/>
      <c r="W205" s="81">
        <v>5</v>
      </c>
      <c r="X205" s="87">
        <f t="shared" ca="1" si="50"/>
        <v>5</v>
      </c>
      <c r="Y205" s="211" t="str">
        <f t="shared" si="45"/>
        <v>x 5</v>
      </c>
      <c r="AI205" s="84"/>
    </row>
  </sheetData>
  <sheetProtection algorithmName="SHA-512" hashValue="V2XFB3/Yyx0/1NgsQUddv9Q9VH+7aoov7MKn6aHuM4k422CF3b60YZlGa7adPMKT5xCiOn18ujodnaGk2HT4YA==" saltValue="fkfuB+o89DOvnwSUia6Qrg==" spinCount="100000" sheet="1" objects="1" scenarios="1"/>
  <sortState xmlns:xlrd2="http://schemas.microsoft.com/office/spreadsheetml/2017/richdata2" ref="A8:AI209">
    <sortCondition ref="A8:A209"/>
  </sortState>
  <mergeCells count="1">
    <mergeCell ref="F2:F5"/>
  </mergeCells>
  <pageMargins left="0.7" right="0.7" top="0.75" bottom="0.75" header="0.3" footer="0.3"/>
  <pageSetup paperSize="9" scale="73" fitToHeight="0" orientation="landscape" horizontalDpi="4294967293" r:id="rId1"/>
  <ignoredErrors>
    <ignoredError sqref="Y11 Y15 Y18:Y19 Y21 Y23 Y30:Y31 Y34 Y39 Y46 Y48:Y49 Y51 Y53 Y55 Y57 Y59 Y61:Y62 Y67 Y69 Y71 Y73 Y78:Y79 Y86 Y89 Y91 Y93 Y95 Y97 Y99 Y101 Y104 Y106 Y108 Y110 Y112 Y115 Y119 Y121 Y124 Y126:Y127 Y130 Y138 Y141 Y143 Y145 Y147 Y149 Y153 Y156 Y158 Y160 Y167:Y168 Y171 Y175:Y177 Y180:Y181 Y184:Y185 Y189:Y190 Y193:Y194 Y199" evalError="1"/>
    <ignoredError sqref="J4"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112469" r:id="rId4" name="Drop Down 2901">
              <controlPr locked="0" defaultSize="0" autoFill="0" autoPict="0">
                <anchor moveWithCells="1">
                  <from>
                    <xdr:col>6</xdr:col>
                    <xdr:colOff>428625</xdr:colOff>
                    <xdr:row>11</xdr:row>
                    <xdr:rowOff>85725</xdr:rowOff>
                  </from>
                  <to>
                    <xdr:col>6</xdr:col>
                    <xdr:colOff>933450</xdr:colOff>
                    <xdr:row>11</xdr:row>
                    <xdr:rowOff>304800</xdr:rowOff>
                  </to>
                </anchor>
              </controlPr>
            </control>
          </mc:Choice>
        </mc:AlternateContent>
        <mc:AlternateContent xmlns:mc="http://schemas.openxmlformats.org/markup-compatibility/2006">
          <mc:Choice Requires="x14">
            <control shapeId="112470" r:id="rId5" name="Drop Down 2902">
              <controlPr locked="0" defaultSize="0" autoFill="0" autoPict="0">
                <anchor moveWithCells="1">
                  <from>
                    <xdr:col>6</xdr:col>
                    <xdr:colOff>428625</xdr:colOff>
                    <xdr:row>12</xdr:row>
                    <xdr:rowOff>85725</xdr:rowOff>
                  </from>
                  <to>
                    <xdr:col>6</xdr:col>
                    <xdr:colOff>933450</xdr:colOff>
                    <xdr:row>12</xdr:row>
                    <xdr:rowOff>304800</xdr:rowOff>
                  </to>
                </anchor>
              </controlPr>
            </control>
          </mc:Choice>
        </mc:AlternateContent>
        <mc:AlternateContent xmlns:mc="http://schemas.openxmlformats.org/markup-compatibility/2006">
          <mc:Choice Requires="x14">
            <control shapeId="112471" r:id="rId6" name="Drop Down 2903">
              <controlPr locked="0" defaultSize="0" autoFill="0" autoPict="0">
                <anchor moveWithCells="1">
                  <from>
                    <xdr:col>6</xdr:col>
                    <xdr:colOff>428625</xdr:colOff>
                    <xdr:row>13</xdr:row>
                    <xdr:rowOff>85725</xdr:rowOff>
                  </from>
                  <to>
                    <xdr:col>6</xdr:col>
                    <xdr:colOff>933450</xdr:colOff>
                    <xdr:row>13</xdr:row>
                    <xdr:rowOff>304800</xdr:rowOff>
                  </to>
                </anchor>
              </controlPr>
            </control>
          </mc:Choice>
        </mc:AlternateContent>
        <mc:AlternateContent xmlns:mc="http://schemas.openxmlformats.org/markup-compatibility/2006">
          <mc:Choice Requires="x14">
            <control shapeId="112472" r:id="rId7" name="Drop Down 2904">
              <controlPr locked="0" defaultSize="0" autoFill="0" autoPict="0">
                <anchor moveWithCells="1">
                  <from>
                    <xdr:col>6</xdr:col>
                    <xdr:colOff>428625</xdr:colOff>
                    <xdr:row>15</xdr:row>
                    <xdr:rowOff>85725</xdr:rowOff>
                  </from>
                  <to>
                    <xdr:col>6</xdr:col>
                    <xdr:colOff>933450</xdr:colOff>
                    <xdr:row>15</xdr:row>
                    <xdr:rowOff>304800</xdr:rowOff>
                  </to>
                </anchor>
              </controlPr>
            </control>
          </mc:Choice>
        </mc:AlternateContent>
        <mc:AlternateContent xmlns:mc="http://schemas.openxmlformats.org/markup-compatibility/2006">
          <mc:Choice Requires="x14">
            <control shapeId="112473" r:id="rId8" name="Drop Down 2905">
              <controlPr locked="0" defaultSize="0" autoFill="0" autoPict="0">
                <anchor moveWithCells="1">
                  <from>
                    <xdr:col>6</xdr:col>
                    <xdr:colOff>428625</xdr:colOff>
                    <xdr:row>16</xdr:row>
                    <xdr:rowOff>85725</xdr:rowOff>
                  </from>
                  <to>
                    <xdr:col>6</xdr:col>
                    <xdr:colOff>933450</xdr:colOff>
                    <xdr:row>16</xdr:row>
                    <xdr:rowOff>304800</xdr:rowOff>
                  </to>
                </anchor>
              </controlPr>
            </control>
          </mc:Choice>
        </mc:AlternateContent>
        <mc:AlternateContent xmlns:mc="http://schemas.openxmlformats.org/markup-compatibility/2006">
          <mc:Choice Requires="x14">
            <control shapeId="112474" r:id="rId9" name="Drop Down 2906">
              <controlPr locked="0" defaultSize="0" autoFill="0" autoPict="0">
                <anchor moveWithCells="1">
                  <from>
                    <xdr:col>6</xdr:col>
                    <xdr:colOff>428625</xdr:colOff>
                    <xdr:row>19</xdr:row>
                    <xdr:rowOff>85725</xdr:rowOff>
                  </from>
                  <to>
                    <xdr:col>6</xdr:col>
                    <xdr:colOff>933450</xdr:colOff>
                    <xdr:row>19</xdr:row>
                    <xdr:rowOff>304800</xdr:rowOff>
                  </to>
                </anchor>
              </controlPr>
            </control>
          </mc:Choice>
        </mc:AlternateContent>
        <mc:AlternateContent xmlns:mc="http://schemas.openxmlformats.org/markup-compatibility/2006">
          <mc:Choice Requires="x14">
            <control shapeId="112475" r:id="rId10" name="Drop Down 2907">
              <controlPr locked="0" defaultSize="0" autoFill="0" autoPict="0">
                <anchor moveWithCells="1">
                  <from>
                    <xdr:col>6</xdr:col>
                    <xdr:colOff>428625</xdr:colOff>
                    <xdr:row>21</xdr:row>
                    <xdr:rowOff>85725</xdr:rowOff>
                  </from>
                  <to>
                    <xdr:col>6</xdr:col>
                    <xdr:colOff>933450</xdr:colOff>
                    <xdr:row>21</xdr:row>
                    <xdr:rowOff>304800</xdr:rowOff>
                  </to>
                </anchor>
              </controlPr>
            </control>
          </mc:Choice>
        </mc:AlternateContent>
        <mc:AlternateContent xmlns:mc="http://schemas.openxmlformats.org/markup-compatibility/2006">
          <mc:Choice Requires="x14">
            <control shapeId="112476" r:id="rId11" name="Drop Down 2908">
              <controlPr locked="0" defaultSize="0" autoFill="0" autoPict="0">
                <anchor moveWithCells="1">
                  <from>
                    <xdr:col>6</xdr:col>
                    <xdr:colOff>428625</xdr:colOff>
                    <xdr:row>23</xdr:row>
                    <xdr:rowOff>85725</xdr:rowOff>
                  </from>
                  <to>
                    <xdr:col>6</xdr:col>
                    <xdr:colOff>933450</xdr:colOff>
                    <xdr:row>23</xdr:row>
                    <xdr:rowOff>304800</xdr:rowOff>
                  </to>
                </anchor>
              </controlPr>
            </control>
          </mc:Choice>
        </mc:AlternateContent>
        <mc:AlternateContent xmlns:mc="http://schemas.openxmlformats.org/markup-compatibility/2006">
          <mc:Choice Requires="x14">
            <control shapeId="112477" r:id="rId12" name="Drop Down 2909">
              <controlPr locked="0" defaultSize="0" autoFill="0" autoPict="0">
                <anchor moveWithCells="1">
                  <from>
                    <xdr:col>6</xdr:col>
                    <xdr:colOff>428625</xdr:colOff>
                    <xdr:row>24</xdr:row>
                    <xdr:rowOff>85725</xdr:rowOff>
                  </from>
                  <to>
                    <xdr:col>6</xdr:col>
                    <xdr:colOff>933450</xdr:colOff>
                    <xdr:row>24</xdr:row>
                    <xdr:rowOff>304800</xdr:rowOff>
                  </to>
                </anchor>
              </controlPr>
            </control>
          </mc:Choice>
        </mc:AlternateContent>
        <mc:AlternateContent xmlns:mc="http://schemas.openxmlformats.org/markup-compatibility/2006">
          <mc:Choice Requires="x14">
            <control shapeId="112478" r:id="rId13" name="Drop Down 2910">
              <controlPr locked="0" defaultSize="0" autoFill="0" autoPict="0">
                <anchor moveWithCells="1">
                  <from>
                    <xdr:col>6</xdr:col>
                    <xdr:colOff>428625</xdr:colOff>
                    <xdr:row>25</xdr:row>
                    <xdr:rowOff>85725</xdr:rowOff>
                  </from>
                  <to>
                    <xdr:col>6</xdr:col>
                    <xdr:colOff>933450</xdr:colOff>
                    <xdr:row>25</xdr:row>
                    <xdr:rowOff>304800</xdr:rowOff>
                  </to>
                </anchor>
              </controlPr>
            </control>
          </mc:Choice>
        </mc:AlternateContent>
        <mc:AlternateContent xmlns:mc="http://schemas.openxmlformats.org/markup-compatibility/2006">
          <mc:Choice Requires="x14">
            <control shapeId="112479" r:id="rId14" name="Drop Down 2911">
              <controlPr locked="0" defaultSize="0" autoFill="0" autoPict="0">
                <anchor moveWithCells="1">
                  <from>
                    <xdr:col>6</xdr:col>
                    <xdr:colOff>428625</xdr:colOff>
                    <xdr:row>26</xdr:row>
                    <xdr:rowOff>85725</xdr:rowOff>
                  </from>
                  <to>
                    <xdr:col>6</xdr:col>
                    <xdr:colOff>933450</xdr:colOff>
                    <xdr:row>26</xdr:row>
                    <xdr:rowOff>304800</xdr:rowOff>
                  </to>
                </anchor>
              </controlPr>
            </control>
          </mc:Choice>
        </mc:AlternateContent>
        <mc:AlternateContent xmlns:mc="http://schemas.openxmlformats.org/markup-compatibility/2006">
          <mc:Choice Requires="x14">
            <control shapeId="112480" r:id="rId15" name="Drop Down 2912">
              <controlPr locked="0" defaultSize="0" autoFill="0" autoPict="0">
                <anchor moveWithCells="1">
                  <from>
                    <xdr:col>6</xdr:col>
                    <xdr:colOff>428625</xdr:colOff>
                    <xdr:row>27</xdr:row>
                    <xdr:rowOff>85725</xdr:rowOff>
                  </from>
                  <to>
                    <xdr:col>6</xdr:col>
                    <xdr:colOff>933450</xdr:colOff>
                    <xdr:row>27</xdr:row>
                    <xdr:rowOff>304800</xdr:rowOff>
                  </to>
                </anchor>
              </controlPr>
            </control>
          </mc:Choice>
        </mc:AlternateContent>
        <mc:AlternateContent xmlns:mc="http://schemas.openxmlformats.org/markup-compatibility/2006">
          <mc:Choice Requires="x14">
            <control shapeId="112481" r:id="rId16" name="Drop Down 2913">
              <controlPr locked="0" defaultSize="0" autoFill="0" autoPict="0">
                <anchor moveWithCells="1">
                  <from>
                    <xdr:col>6</xdr:col>
                    <xdr:colOff>428625</xdr:colOff>
                    <xdr:row>28</xdr:row>
                    <xdr:rowOff>85725</xdr:rowOff>
                  </from>
                  <to>
                    <xdr:col>6</xdr:col>
                    <xdr:colOff>933450</xdr:colOff>
                    <xdr:row>28</xdr:row>
                    <xdr:rowOff>304800</xdr:rowOff>
                  </to>
                </anchor>
              </controlPr>
            </control>
          </mc:Choice>
        </mc:AlternateContent>
        <mc:AlternateContent xmlns:mc="http://schemas.openxmlformats.org/markup-compatibility/2006">
          <mc:Choice Requires="x14">
            <control shapeId="112482" r:id="rId17" name="Drop Down 2914">
              <controlPr locked="0" defaultSize="0" autoFill="0" autoPict="0">
                <anchor moveWithCells="1">
                  <from>
                    <xdr:col>6</xdr:col>
                    <xdr:colOff>428625</xdr:colOff>
                    <xdr:row>31</xdr:row>
                    <xdr:rowOff>85725</xdr:rowOff>
                  </from>
                  <to>
                    <xdr:col>6</xdr:col>
                    <xdr:colOff>933450</xdr:colOff>
                    <xdr:row>31</xdr:row>
                    <xdr:rowOff>304800</xdr:rowOff>
                  </to>
                </anchor>
              </controlPr>
            </control>
          </mc:Choice>
        </mc:AlternateContent>
        <mc:AlternateContent xmlns:mc="http://schemas.openxmlformats.org/markup-compatibility/2006">
          <mc:Choice Requires="x14">
            <control shapeId="112483" r:id="rId18" name="Drop Down 2915">
              <controlPr locked="0" defaultSize="0" autoFill="0" autoPict="0">
                <anchor moveWithCells="1">
                  <from>
                    <xdr:col>6</xdr:col>
                    <xdr:colOff>428625</xdr:colOff>
                    <xdr:row>32</xdr:row>
                    <xdr:rowOff>85725</xdr:rowOff>
                  </from>
                  <to>
                    <xdr:col>6</xdr:col>
                    <xdr:colOff>933450</xdr:colOff>
                    <xdr:row>32</xdr:row>
                    <xdr:rowOff>304800</xdr:rowOff>
                  </to>
                </anchor>
              </controlPr>
            </control>
          </mc:Choice>
        </mc:AlternateContent>
        <mc:AlternateContent xmlns:mc="http://schemas.openxmlformats.org/markup-compatibility/2006">
          <mc:Choice Requires="x14">
            <control shapeId="112484" r:id="rId19" name="Drop Down 2916">
              <controlPr locked="0" defaultSize="0" autoFill="0" autoPict="0">
                <anchor moveWithCells="1">
                  <from>
                    <xdr:col>6</xdr:col>
                    <xdr:colOff>428625</xdr:colOff>
                    <xdr:row>34</xdr:row>
                    <xdr:rowOff>85725</xdr:rowOff>
                  </from>
                  <to>
                    <xdr:col>6</xdr:col>
                    <xdr:colOff>933450</xdr:colOff>
                    <xdr:row>34</xdr:row>
                    <xdr:rowOff>304800</xdr:rowOff>
                  </to>
                </anchor>
              </controlPr>
            </control>
          </mc:Choice>
        </mc:AlternateContent>
        <mc:AlternateContent xmlns:mc="http://schemas.openxmlformats.org/markup-compatibility/2006">
          <mc:Choice Requires="x14">
            <control shapeId="112485" r:id="rId20" name="Drop Down 2917">
              <controlPr locked="0" defaultSize="0" autoFill="0" autoPict="0">
                <anchor moveWithCells="1">
                  <from>
                    <xdr:col>6</xdr:col>
                    <xdr:colOff>428625</xdr:colOff>
                    <xdr:row>35</xdr:row>
                    <xdr:rowOff>85725</xdr:rowOff>
                  </from>
                  <to>
                    <xdr:col>6</xdr:col>
                    <xdr:colOff>933450</xdr:colOff>
                    <xdr:row>35</xdr:row>
                    <xdr:rowOff>304800</xdr:rowOff>
                  </to>
                </anchor>
              </controlPr>
            </control>
          </mc:Choice>
        </mc:AlternateContent>
        <mc:AlternateContent xmlns:mc="http://schemas.openxmlformats.org/markup-compatibility/2006">
          <mc:Choice Requires="x14">
            <control shapeId="112486" r:id="rId21" name="Drop Down 2918">
              <controlPr locked="0" defaultSize="0" autoFill="0" autoPict="0">
                <anchor moveWithCells="1">
                  <from>
                    <xdr:col>6</xdr:col>
                    <xdr:colOff>428625</xdr:colOff>
                    <xdr:row>36</xdr:row>
                    <xdr:rowOff>85725</xdr:rowOff>
                  </from>
                  <to>
                    <xdr:col>6</xdr:col>
                    <xdr:colOff>933450</xdr:colOff>
                    <xdr:row>36</xdr:row>
                    <xdr:rowOff>304800</xdr:rowOff>
                  </to>
                </anchor>
              </controlPr>
            </control>
          </mc:Choice>
        </mc:AlternateContent>
        <mc:AlternateContent xmlns:mc="http://schemas.openxmlformats.org/markup-compatibility/2006">
          <mc:Choice Requires="x14">
            <control shapeId="112487" r:id="rId22" name="Drop Down 2919">
              <controlPr locked="0" defaultSize="0" autoFill="0" autoPict="0">
                <anchor moveWithCells="1">
                  <from>
                    <xdr:col>6</xdr:col>
                    <xdr:colOff>428625</xdr:colOff>
                    <xdr:row>37</xdr:row>
                    <xdr:rowOff>85725</xdr:rowOff>
                  </from>
                  <to>
                    <xdr:col>6</xdr:col>
                    <xdr:colOff>933450</xdr:colOff>
                    <xdr:row>37</xdr:row>
                    <xdr:rowOff>304800</xdr:rowOff>
                  </to>
                </anchor>
              </controlPr>
            </control>
          </mc:Choice>
        </mc:AlternateContent>
        <mc:AlternateContent xmlns:mc="http://schemas.openxmlformats.org/markup-compatibility/2006">
          <mc:Choice Requires="x14">
            <control shapeId="112488" r:id="rId23" name="Drop Down 2920">
              <controlPr locked="0" defaultSize="0" autoFill="0" autoPict="0">
                <anchor moveWithCells="1">
                  <from>
                    <xdr:col>6</xdr:col>
                    <xdr:colOff>428625</xdr:colOff>
                    <xdr:row>39</xdr:row>
                    <xdr:rowOff>85725</xdr:rowOff>
                  </from>
                  <to>
                    <xdr:col>6</xdr:col>
                    <xdr:colOff>933450</xdr:colOff>
                    <xdr:row>39</xdr:row>
                    <xdr:rowOff>304800</xdr:rowOff>
                  </to>
                </anchor>
              </controlPr>
            </control>
          </mc:Choice>
        </mc:AlternateContent>
        <mc:AlternateContent xmlns:mc="http://schemas.openxmlformats.org/markup-compatibility/2006">
          <mc:Choice Requires="x14">
            <control shapeId="112489" r:id="rId24" name="Drop Down 2921">
              <controlPr locked="0" defaultSize="0" autoFill="0" autoPict="0">
                <anchor moveWithCells="1">
                  <from>
                    <xdr:col>6</xdr:col>
                    <xdr:colOff>428625</xdr:colOff>
                    <xdr:row>40</xdr:row>
                    <xdr:rowOff>85725</xdr:rowOff>
                  </from>
                  <to>
                    <xdr:col>6</xdr:col>
                    <xdr:colOff>933450</xdr:colOff>
                    <xdr:row>40</xdr:row>
                    <xdr:rowOff>304800</xdr:rowOff>
                  </to>
                </anchor>
              </controlPr>
            </control>
          </mc:Choice>
        </mc:AlternateContent>
        <mc:AlternateContent xmlns:mc="http://schemas.openxmlformats.org/markup-compatibility/2006">
          <mc:Choice Requires="x14">
            <control shapeId="112490" r:id="rId25" name="Drop Down 2922">
              <controlPr locked="0" defaultSize="0" autoFill="0" autoPict="0">
                <anchor moveWithCells="1">
                  <from>
                    <xdr:col>6</xdr:col>
                    <xdr:colOff>428625</xdr:colOff>
                    <xdr:row>41</xdr:row>
                    <xdr:rowOff>85725</xdr:rowOff>
                  </from>
                  <to>
                    <xdr:col>6</xdr:col>
                    <xdr:colOff>933450</xdr:colOff>
                    <xdr:row>41</xdr:row>
                    <xdr:rowOff>304800</xdr:rowOff>
                  </to>
                </anchor>
              </controlPr>
            </control>
          </mc:Choice>
        </mc:AlternateContent>
        <mc:AlternateContent xmlns:mc="http://schemas.openxmlformats.org/markup-compatibility/2006">
          <mc:Choice Requires="x14">
            <control shapeId="112491" r:id="rId26" name="Drop Down 2923">
              <controlPr locked="0" defaultSize="0" autoFill="0" autoPict="0">
                <anchor moveWithCells="1">
                  <from>
                    <xdr:col>6</xdr:col>
                    <xdr:colOff>428625</xdr:colOff>
                    <xdr:row>42</xdr:row>
                    <xdr:rowOff>85725</xdr:rowOff>
                  </from>
                  <to>
                    <xdr:col>6</xdr:col>
                    <xdr:colOff>933450</xdr:colOff>
                    <xdr:row>42</xdr:row>
                    <xdr:rowOff>304800</xdr:rowOff>
                  </to>
                </anchor>
              </controlPr>
            </control>
          </mc:Choice>
        </mc:AlternateContent>
        <mc:AlternateContent xmlns:mc="http://schemas.openxmlformats.org/markup-compatibility/2006">
          <mc:Choice Requires="x14">
            <control shapeId="112492" r:id="rId27" name="Drop Down 2924">
              <controlPr locked="0" defaultSize="0" autoFill="0" autoPict="0">
                <anchor moveWithCells="1">
                  <from>
                    <xdr:col>6</xdr:col>
                    <xdr:colOff>428625</xdr:colOff>
                    <xdr:row>43</xdr:row>
                    <xdr:rowOff>85725</xdr:rowOff>
                  </from>
                  <to>
                    <xdr:col>6</xdr:col>
                    <xdr:colOff>933450</xdr:colOff>
                    <xdr:row>43</xdr:row>
                    <xdr:rowOff>304800</xdr:rowOff>
                  </to>
                </anchor>
              </controlPr>
            </control>
          </mc:Choice>
        </mc:AlternateContent>
        <mc:AlternateContent xmlns:mc="http://schemas.openxmlformats.org/markup-compatibility/2006">
          <mc:Choice Requires="x14">
            <control shapeId="112493" r:id="rId28" name="Drop Down 2925">
              <controlPr locked="0" defaultSize="0" autoFill="0" autoPict="0">
                <anchor moveWithCells="1">
                  <from>
                    <xdr:col>6</xdr:col>
                    <xdr:colOff>428625</xdr:colOff>
                    <xdr:row>44</xdr:row>
                    <xdr:rowOff>85725</xdr:rowOff>
                  </from>
                  <to>
                    <xdr:col>6</xdr:col>
                    <xdr:colOff>933450</xdr:colOff>
                    <xdr:row>44</xdr:row>
                    <xdr:rowOff>304800</xdr:rowOff>
                  </to>
                </anchor>
              </controlPr>
            </control>
          </mc:Choice>
        </mc:AlternateContent>
        <mc:AlternateContent xmlns:mc="http://schemas.openxmlformats.org/markup-compatibility/2006">
          <mc:Choice Requires="x14">
            <control shapeId="112494" r:id="rId29" name="Drop Down 2926">
              <controlPr locked="0" defaultSize="0" autoFill="0" autoPict="0">
                <anchor moveWithCells="1">
                  <from>
                    <xdr:col>6</xdr:col>
                    <xdr:colOff>428625</xdr:colOff>
                    <xdr:row>46</xdr:row>
                    <xdr:rowOff>85725</xdr:rowOff>
                  </from>
                  <to>
                    <xdr:col>6</xdr:col>
                    <xdr:colOff>933450</xdr:colOff>
                    <xdr:row>46</xdr:row>
                    <xdr:rowOff>304800</xdr:rowOff>
                  </to>
                </anchor>
              </controlPr>
            </control>
          </mc:Choice>
        </mc:AlternateContent>
        <mc:AlternateContent xmlns:mc="http://schemas.openxmlformats.org/markup-compatibility/2006">
          <mc:Choice Requires="x14">
            <control shapeId="112495" r:id="rId30" name="Drop Down 2927">
              <controlPr locked="0" defaultSize="0" autoFill="0" autoPict="0">
                <anchor moveWithCells="1">
                  <from>
                    <xdr:col>6</xdr:col>
                    <xdr:colOff>428625</xdr:colOff>
                    <xdr:row>49</xdr:row>
                    <xdr:rowOff>85725</xdr:rowOff>
                  </from>
                  <to>
                    <xdr:col>6</xdr:col>
                    <xdr:colOff>933450</xdr:colOff>
                    <xdr:row>49</xdr:row>
                    <xdr:rowOff>304800</xdr:rowOff>
                  </to>
                </anchor>
              </controlPr>
            </control>
          </mc:Choice>
        </mc:AlternateContent>
        <mc:AlternateContent xmlns:mc="http://schemas.openxmlformats.org/markup-compatibility/2006">
          <mc:Choice Requires="x14">
            <control shapeId="112496" r:id="rId31" name="Drop Down 2928">
              <controlPr locked="0" defaultSize="0" autoFill="0" autoPict="0">
                <anchor moveWithCells="1">
                  <from>
                    <xdr:col>6</xdr:col>
                    <xdr:colOff>428625</xdr:colOff>
                    <xdr:row>51</xdr:row>
                    <xdr:rowOff>85725</xdr:rowOff>
                  </from>
                  <to>
                    <xdr:col>6</xdr:col>
                    <xdr:colOff>933450</xdr:colOff>
                    <xdr:row>51</xdr:row>
                    <xdr:rowOff>304800</xdr:rowOff>
                  </to>
                </anchor>
              </controlPr>
            </control>
          </mc:Choice>
        </mc:AlternateContent>
        <mc:AlternateContent xmlns:mc="http://schemas.openxmlformats.org/markup-compatibility/2006">
          <mc:Choice Requires="x14">
            <control shapeId="112497" r:id="rId32" name="Drop Down 2929">
              <controlPr locked="0" defaultSize="0" autoFill="0" autoPict="0">
                <anchor moveWithCells="1">
                  <from>
                    <xdr:col>6</xdr:col>
                    <xdr:colOff>428625</xdr:colOff>
                    <xdr:row>53</xdr:row>
                    <xdr:rowOff>85725</xdr:rowOff>
                  </from>
                  <to>
                    <xdr:col>6</xdr:col>
                    <xdr:colOff>933450</xdr:colOff>
                    <xdr:row>53</xdr:row>
                    <xdr:rowOff>304800</xdr:rowOff>
                  </to>
                </anchor>
              </controlPr>
            </control>
          </mc:Choice>
        </mc:AlternateContent>
        <mc:AlternateContent xmlns:mc="http://schemas.openxmlformats.org/markup-compatibility/2006">
          <mc:Choice Requires="x14">
            <control shapeId="112498" r:id="rId33" name="Drop Down 2930">
              <controlPr locked="0" defaultSize="0" autoFill="0" autoPict="0">
                <anchor moveWithCells="1">
                  <from>
                    <xdr:col>6</xdr:col>
                    <xdr:colOff>428625</xdr:colOff>
                    <xdr:row>55</xdr:row>
                    <xdr:rowOff>85725</xdr:rowOff>
                  </from>
                  <to>
                    <xdr:col>6</xdr:col>
                    <xdr:colOff>933450</xdr:colOff>
                    <xdr:row>55</xdr:row>
                    <xdr:rowOff>304800</xdr:rowOff>
                  </to>
                </anchor>
              </controlPr>
            </control>
          </mc:Choice>
        </mc:AlternateContent>
        <mc:AlternateContent xmlns:mc="http://schemas.openxmlformats.org/markup-compatibility/2006">
          <mc:Choice Requires="x14">
            <control shapeId="112499" r:id="rId34" name="Drop Down 2931">
              <controlPr locked="0" defaultSize="0" autoFill="0" autoPict="0">
                <anchor moveWithCells="1">
                  <from>
                    <xdr:col>6</xdr:col>
                    <xdr:colOff>428625</xdr:colOff>
                    <xdr:row>57</xdr:row>
                    <xdr:rowOff>85725</xdr:rowOff>
                  </from>
                  <to>
                    <xdr:col>6</xdr:col>
                    <xdr:colOff>933450</xdr:colOff>
                    <xdr:row>57</xdr:row>
                    <xdr:rowOff>304800</xdr:rowOff>
                  </to>
                </anchor>
              </controlPr>
            </control>
          </mc:Choice>
        </mc:AlternateContent>
        <mc:AlternateContent xmlns:mc="http://schemas.openxmlformats.org/markup-compatibility/2006">
          <mc:Choice Requires="x14">
            <control shapeId="112500" r:id="rId35" name="Drop Down 2932">
              <controlPr locked="0" defaultSize="0" autoFill="0" autoPict="0">
                <anchor moveWithCells="1">
                  <from>
                    <xdr:col>6</xdr:col>
                    <xdr:colOff>428625</xdr:colOff>
                    <xdr:row>59</xdr:row>
                    <xdr:rowOff>85725</xdr:rowOff>
                  </from>
                  <to>
                    <xdr:col>6</xdr:col>
                    <xdr:colOff>933450</xdr:colOff>
                    <xdr:row>59</xdr:row>
                    <xdr:rowOff>304800</xdr:rowOff>
                  </to>
                </anchor>
              </controlPr>
            </control>
          </mc:Choice>
        </mc:AlternateContent>
        <mc:AlternateContent xmlns:mc="http://schemas.openxmlformats.org/markup-compatibility/2006">
          <mc:Choice Requires="x14">
            <control shapeId="112501" r:id="rId36" name="Drop Down 2933">
              <controlPr locked="0" defaultSize="0" autoFill="0" autoPict="0">
                <anchor moveWithCells="1">
                  <from>
                    <xdr:col>6</xdr:col>
                    <xdr:colOff>428625</xdr:colOff>
                    <xdr:row>62</xdr:row>
                    <xdr:rowOff>85725</xdr:rowOff>
                  </from>
                  <to>
                    <xdr:col>6</xdr:col>
                    <xdr:colOff>933450</xdr:colOff>
                    <xdr:row>62</xdr:row>
                    <xdr:rowOff>304800</xdr:rowOff>
                  </to>
                </anchor>
              </controlPr>
            </control>
          </mc:Choice>
        </mc:AlternateContent>
        <mc:AlternateContent xmlns:mc="http://schemas.openxmlformats.org/markup-compatibility/2006">
          <mc:Choice Requires="x14">
            <control shapeId="112502" r:id="rId37" name="Drop Down 2934">
              <controlPr locked="0" defaultSize="0" autoFill="0" autoPict="0">
                <anchor moveWithCells="1">
                  <from>
                    <xdr:col>6</xdr:col>
                    <xdr:colOff>428625</xdr:colOff>
                    <xdr:row>63</xdr:row>
                    <xdr:rowOff>85725</xdr:rowOff>
                  </from>
                  <to>
                    <xdr:col>6</xdr:col>
                    <xdr:colOff>933450</xdr:colOff>
                    <xdr:row>63</xdr:row>
                    <xdr:rowOff>304800</xdr:rowOff>
                  </to>
                </anchor>
              </controlPr>
            </control>
          </mc:Choice>
        </mc:AlternateContent>
        <mc:AlternateContent xmlns:mc="http://schemas.openxmlformats.org/markup-compatibility/2006">
          <mc:Choice Requires="x14">
            <control shapeId="112503" r:id="rId38" name="Drop Down 2935">
              <controlPr locked="0" defaultSize="0" autoFill="0" autoPict="0">
                <anchor moveWithCells="1">
                  <from>
                    <xdr:col>6</xdr:col>
                    <xdr:colOff>428625</xdr:colOff>
                    <xdr:row>64</xdr:row>
                    <xdr:rowOff>85725</xdr:rowOff>
                  </from>
                  <to>
                    <xdr:col>6</xdr:col>
                    <xdr:colOff>933450</xdr:colOff>
                    <xdr:row>64</xdr:row>
                    <xdr:rowOff>304800</xdr:rowOff>
                  </to>
                </anchor>
              </controlPr>
            </control>
          </mc:Choice>
        </mc:AlternateContent>
        <mc:AlternateContent xmlns:mc="http://schemas.openxmlformats.org/markup-compatibility/2006">
          <mc:Choice Requires="x14">
            <control shapeId="112504" r:id="rId39" name="Drop Down 2936">
              <controlPr locked="0" defaultSize="0" autoFill="0" autoPict="0">
                <anchor moveWithCells="1">
                  <from>
                    <xdr:col>6</xdr:col>
                    <xdr:colOff>428625</xdr:colOff>
                    <xdr:row>65</xdr:row>
                    <xdr:rowOff>85725</xdr:rowOff>
                  </from>
                  <to>
                    <xdr:col>6</xdr:col>
                    <xdr:colOff>933450</xdr:colOff>
                    <xdr:row>65</xdr:row>
                    <xdr:rowOff>304800</xdr:rowOff>
                  </to>
                </anchor>
              </controlPr>
            </control>
          </mc:Choice>
        </mc:AlternateContent>
        <mc:AlternateContent xmlns:mc="http://schemas.openxmlformats.org/markup-compatibility/2006">
          <mc:Choice Requires="x14">
            <control shapeId="112505" r:id="rId40" name="Drop Down 2937">
              <controlPr locked="0" defaultSize="0" autoFill="0" autoPict="0">
                <anchor moveWithCells="1">
                  <from>
                    <xdr:col>6</xdr:col>
                    <xdr:colOff>428625</xdr:colOff>
                    <xdr:row>67</xdr:row>
                    <xdr:rowOff>85725</xdr:rowOff>
                  </from>
                  <to>
                    <xdr:col>6</xdr:col>
                    <xdr:colOff>933450</xdr:colOff>
                    <xdr:row>67</xdr:row>
                    <xdr:rowOff>304800</xdr:rowOff>
                  </to>
                </anchor>
              </controlPr>
            </control>
          </mc:Choice>
        </mc:AlternateContent>
        <mc:AlternateContent xmlns:mc="http://schemas.openxmlformats.org/markup-compatibility/2006">
          <mc:Choice Requires="x14">
            <control shapeId="112506" r:id="rId41" name="Drop Down 2938">
              <controlPr locked="0" defaultSize="0" autoFill="0" autoPict="0">
                <anchor moveWithCells="1">
                  <from>
                    <xdr:col>6</xdr:col>
                    <xdr:colOff>428625</xdr:colOff>
                    <xdr:row>69</xdr:row>
                    <xdr:rowOff>85725</xdr:rowOff>
                  </from>
                  <to>
                    <xdr:col>6</xdr:col>
                    <xdr:colOff>933450</xdr:colOff>
                    <xdr:row>69</xdr:row>
                    <xdr:rowOff>304800</xdr:rowOff>
                  </to>
                </anchor>
              </controlPr>
            </control>
          </mc:Choice>
        </mc:AlternateContent>
        <mc:AlternateContent xmlns:mc="http://schemas.openxmlformats.org/markup-compatibility/2006">
          <mc:Choice Requires="x14">
            <control shapeId="112507" r:id="rId42" name="Drop Down 2939">
              <controlPr locked="0" defaultSize="0" autoFill="0" autoPict="0">
                <anchor moveWithCells="1">
                  <from>
                    <xdr:col>6</xdr:col>
                    <xdr:colOff>428625</xdr:colOff>
                    <xdr:row>71</xdr:row>
                    <xdr:rowOff>85725</xdr:rowOff>
                  </from>
                  <to>
                    <xdr:col>6</xdr:col>
                    <xdr:colOff>933450</xdr:colOff>
                    <xdr:row>71</xdr:row>
                    <xdr:rowOff>304800</xdr:rowOff>
                  </to>
                </anchor>
              </controlPr>
            </control>
          </mc:Choice>
        </mc:AlternateContent>
        <mc:AlternateContent xmlns:mc="http://schemas.openxmlformats.org/markup-compatibility/2006">
          <mc:Choice Requires="x14">
            <control shapeId="112508" r:id="rId43" name="Drop Down 2940">
              <controlPr locked="0" defaultSize="0" autoFill="0" autoPict="0">
                <anchor moveWithCells="1">
                  <from>
                    <xdr:col>6</xdr:col>
                    <xdr:colOff>428625</xdr:colOff>
                    <xdr:row>73</xdr:row>
                    <xdr:rowOff>85725</xdr:rowOff>
                  </from>
                  <to>
                    <xdr:col>6</xdr:col>
                    <xdr:colOff>933450</xdr:colOff>
                    <xdr:row>73</xdr:row>
                    <xdr:rowOff>304800</xdr:rowOff>
                  </to>
                </anchor>
              </controlPr>
            </control>
          </mc:Choice>
        </mc:AlternateContent>
        <mc:AlternateContent xmlns:mc="http://schemas.openxmlformats.org/markup-compatibility/2006">
          <mc:Choice Requires="x14">
            <control shapeId="112509" r:id="rId44" name="Drop Down 2941">
              <controlPr locked="0" defaultSize="0" autoFill="0" autoPict="0">
                <anchor moveWithCells="1">
                  <from>
                    <xdr:col>6</xdr:col>
                    <xdr:colOff>428625</xdr:colOff>
                    <xdr:row>74</xdr:row>
                    <xdr:rowOff>85725</xdr:rowOff>
                  </from>
                  <to>
                    <xdr:col>6</xdr:col>
                    <xdr:colOff>933450</xdr:colOff>
                    <xdr:row>74</xdr:row>
                    <xdr:rowOff>304800</xdr:rowOff>
                  </to>
                </anchor>
              </controlPr>
            </control>
          </mc:Choice>
        </mc:AlternateContent>
        <mc:AlternateContent xmlns:mc="http://schemas.openxmlformats.org/markup-compatibility/2006">
          <mc:Choice Requires="x14">
            <control shapeId="112510" r:id="rId45" name="Drop Down 2942">
              <controlPr locked="0" defaultSize="0" autoFill="0" autoPict="0">
                <anchor moveWithCells="1">
                  <from>
                    <xdr:col>6</xdr:col>
                    <xdr:colOff>428625</xdr:colOff>
                    <xdr:row>75</xdr:row>
                    <xdr:rowOff>85725</xdr:rowOff>
                  </from>
                  <to>
                    <xdr:col>6</xdr:col>
                    <xdr:colOff>933450</xdr:colOff>
                    <xdr:row>75</xdr:row>
                    <xdr:rowOff>304800</xdr:rowOff>
                  </to>
                </anchor>
              </controlPr>
            </control>
          </mc:Choice>
        </mc:AlternateContent>
        <mc:AlternateContent xmlns:mc="http://schemas.openxmlformats.org/markup-compatibility/2006">
          <mc:Choice Requires="x14">
            <control shapeId="112511" r:id="rId46" name="Drop Down 2943">
              <controlPr locked="0" defaultSize="0" autoFill="0" autoPict="0">
                <anchor moveWithCells="1">
                  <from>
                    <xdr:col>6</xdr:col>
                    <xdr:colOff>428625</xdr:colOff>
                    <xdr:row>76</xdr:row>
                    <xdr:rowOff>85725</xdr:rowOff>
                  </from>
                  <to>
                    <xdr:col>6</xdr:col>
                    <xdr:colOff>933450</xdr:colOff>
                    <xdr:row>76</xdr:row>
                    <xdr:rowOff>304800</xdr:rowOff>
                  </to>
                </anchor>
              </controlPr>
            </control>
          </mc:Choice>
        </mc:AlternateContent>
        <mc:AlternateContent xmlns:mc="http://schemas.openxmlformats.org/markup-compatibility/2006">
          <mc:Choice Requires="x14">
            <control shapeId="112512" r:id="rId47" name="Drop Down 2944">
              <controlPr locked="0" defaultSize="0" autoFill="0" autoPict="0">
                <anchor moveWithCells="1">
                  <from>
                    <xdr:col>6</xdr:col>
                    <xdr:colOff>428625</xdr:colOff>
                    <xdr:row>79</xdr:row>
                    <xdr:rowOff>85725</xdr:rowOff>
                  </from>
                  <to>
                    <xdr:col>6</xdr:col>
                    <xdr:colOff>933450</xdr:colOff>
                    <xdr:row>79</xdr:row>
                    <xdr:rowOff>304800</xdr:rowOff>
                  </to>
                </anchor>
              </controlPr>
            </control>
          </mc:Choice>
        </mc:AlternateContent>
        <mc:AlternateContent xmlns:mc="http://schemas.openxmlformats.org/markup-compatibility/2006">
          <mc:Choice Requires="x14">
            <control shapeId="112513" r:id="rId48" name="Drop Down 2945">
              <controlPr locked="0" defaultSize="0" autoFill="0" autoPict="0">
                <anchor moveWithCells="1">
                  <from>
                    <xdr:col>6</xdr:col>
                    <xdr:colOff>428625</xdr:colOff>
                    <xdr:row>80</xdr:row>
                    <xdr:rowOff>85725</xdr:rowOff>
                  </from>
                  <to>
                    <xdr:col>6</xdr:col>
                    <xdr:colOff>933450</xdr:colOff>
                    <xdr:row>80</xdr:row>
                    <xdr:rowOff>304800</xdr:rowOff>
                  </to>
                </anchor>
              </controlPr>
            </control>
          </mc:Choice>
        </mc:AlternateContent>
        <mc:AlternateContent xmlns:mc="http://schemas.openxmlformats.org/markup-compatibility/2006">
          <mc:Choice Requires="x14">
            <control shapeId="112514" r:id="rId49" name="Drop Down 2946">
              <controlPr locked="0" defaultSize="0" autoFill="0" autoPict="0">
                <anchor moveWithCells="1">
                  <from>
                    <xdr:col>6</xdr:col>
                    <xdr:colOff>428625</xdr:colOff>
                    <xdr:row>81</xdr:row>
                    <xdr:rowOff>85725</xdr:rowOff>
                  </from>
                  <to>
                    <xdr:col>6</xdr:col>
                    <xdr:colOff>933450</xdr:colOff>
                    <xdr:row>81</xdr:row>
                    <xdr:rowOff>304800</xdr:rowOff>
                  </to>
                </anchor>
              </controlPr>
            </control>
          </mc:Choice>
        </mc:AlternateContent>
        <mc:AlternateContent xmlns:mc="http://schemas.openxmlformats.org/markup-compatibility/2006">
          <mc:Choice Requires="x14">
            <control shapeId="112515" r:id="rId50" name="Drop Down 2947">
              <controlPr locked="0" defaultSize="0" autoFill="0" autoPict="0">
                <anchor moveWithCells="1">
                  <from>
                    <xdr:col>6</xdr:col>
                    <xdr:colOff>428625</xdr:colOff>
                    <xdr:row>82</xdr:row>
                    <xdr:rowOff>85725</xdr:rowOff>
                  </from>
                  <to>
                    <xdr:col>6</xdr:col>
                    <xdr:colOff>933450</xdr:colOff>
                    <xdr:row>82</xdr:row>
                    <xdr:rowOff>304800</xdr:rowOff>
                  </to>
                </anchor>
              </controlPr>
            </control>
          </mc:Choice>
        </mc:AlternateContent>
        <mc:AlternateContent xmlns:mc="http://schemas.openxmlformats.org/markup-compatibility/2006">
          <mc:Choice Requires="x14">
            <control shapeId="112516" r:id="rId51" name="Drop Down 2948">
              <controlPr locked="0" defaultSize="0" autoFill="0" autoPict="0">
                <anchor moveWithCells="1">
                  <from>
                    <xdr:col>6</xdr:col>
                    <xdr:colOff>428625</xdr:colOff>
                    <xdr:row>83</xdr:row>
                    <xdr:rowOff>85725</xdr:rowOff>
                  </from>
                  <to>
                    <xdr:col>6</xdr:col>
                    <xdr:colOff>933450</xdr:colOff>
                    <xdr:row>83</xdr:row>
                    <xdr:rowOff>304800</xdr:rowOff>
                  </to>
                </anchor>
              </controlPr>
            </control>
          </mc:Choice>
        </mc:AlternateContent>
        <mc:AlternateContent xmlns:mc="http://schemas.openxmlformats.org/markup-compatibility/2006">
          <mc:Choice Requires="x14">
            <control shapeId="112517" r:id="rId52" name="Drop Down 2949">
              <controlPr locked="0" defaultSize="0" autoFill="0" autoPict="0">
                <anchor moveWithCells="1">
                  <from>
                    <xdr:col>6</xdr:col>
                    <xdr:colOff>428625</xdr:colOff>
                    <xdr:row>84</xdr:row>
                    <xdr:rowOff>85725</xdr:rowOff>
                  </from>
                  <to>
                    <xdr:col>6</xdr:col>
                    <xdr:colOff>933450</xdr:colOff>
                    <xdr:row>84</xdr:row>
                    <xdr:rowOff>304800</xdr:rowOff>
                  </to>
                </anchor>
              </controlPr>
            </control>
          </mc:Choice>
        </mc:AlternateContent>
        <mc:AlternateContent xmlns:mc="http://schemas.openxmlformats.org/markup-compatibility/2006">
          <mc:Choice Requires="x14">
            <control shapeId="112518" r:id="rId53" name="Drop Down 2950">
              <controlPr locked="0" defaultSize="0" autoFill="0" autoPict="0">
                <anchor moveWithCells="1">
                  <from>
                    <xdr:col>6</xdr:col>
                    <xdr:colOff>428625</xdr:colOff>
                    <xdr:row>86</xdr:row>
                    <xdr:rowOff>85725</xdr:rowOff>
                  </from>
                  <to>
                    <xdr:col>6</xdr:col>
                    <xdr:colOff>933450</xdr:colOff>
                    <xdr:row>86</xdr:row>
                    <xdr:rowOff>304800</xdr:rowOff>
                  </to>
                </anchor>
              </controlPr>
            </control>
          </mc:Choice>
        </mc:AlternateContent>
        <mc:AlternateContent xmlns:mc="http://schemas.openxmlformats.org/markup-compatibility/2006">
          <mc:Choice Requires="x14">
            <control shapeId="112519" r:id="rId54" name="Drop Down 2951">
              <controlPr locked="0" defaultSize="0" autoFill="0" autoPict="0">
                <anchor moveWithCells="1">
                  <from>
                    <xdr:col>6</xdr:col>
                    <xdr:colOff>428625</xdr:colOff>
                    <xdr:row>87</xdr:row>
                    <xdr:rowOff>85725</xdr:rowOff>
                  </from>
                  <to>
                    <xdr:col>6</xdr:col>
                    <xdr:colOff>933450</xdr:colOff>
                    <xdr:row>87</xdr:row>
                    <xdr:rowOff>304800</xdr:rowOff>
                  </to>
                </anchor>
              </controlPr>
            </control>
          </mc:Choice>
        </mc:AlternateContent>
        <mc:AlternateContent xmlns:mc="http://schemas.openxmlformats.org/markup-compatibility/2006">
          <mc:Choice Requires="x14">
            <control shapeId="112520" r:id="rId55" name="Drop Down 2952">
              <controlPr locked="0" defaultSize="0" autoFill="0" autoPict="0">
                <anchor moveWithCells="1">
                  <from>
                    <xdr:col>6</xdr:col>
                    <xdr:colOff>428625</xdr:colOff>
                    <xdr:row>89</xdr:row>
                    <xdr:rowOff>85725</xdr:rowOff>
                  </from>
                  <to>
                    <xdr:col>6</xdr:col>
                    <xdr:colOff>933450</xdr:colOff>
                    <xdr:row>89</xdr:row>
                    <xdr:rowOff>304800</xdr:rowOff>
                  </to>
                </anchor>
              </controlPr>
            </control>
          </mc:Choice>
        </mc:AlternateContent>
        <mc:AlternateContent xmlns:mc="http://schemas.openxmlformats.org/markup-compatibility/2006">
          <mc:Choice Requires="x14">
            <control shapeId="112521" r:id="rId56" name="Drop Down 2953">
              <controlPr locked="0" defaultSize="0" autoFill="0" autoPict="0">
                <anchor moveWithCells="1">
                  <from>
                    <xdr:col>6</xdr:col>
                    <xdr:colOff>428625</xdr:colOff>
                    <xdr:row>91</xdr:row>
                    <xdr:rowOff>85725</xdr:rowOff>
                  </from>
                  <to>
                    <xdr:col>6</xdr:col>
                    <xdr:colOff>933450</xdr:colOff>
                    <xdr:row>91</xdr:row>
                    <xdr:rowOff>304800</xdr:rowOff>
                  </to>
                </anchor>
              </controlPr>
            </control>
          </mc:Choice>
        </mc:AlternateContent>
        <mc:AlternateContent xmlns:mc="http://schemas.openxmlformats.org/markup-compatibility/2006">
          <mc:Choice Requires="x14">
            <control shapeId="112522" r:id="rId57" name="Drop Down 2954">
              <controlPr locked="0" defaultSize="0" autoFill="0" autoPict="0">
                <anchor moveWithCells="1">
                  <from>
                    <xdr:col>6</xdr:col>
                    <xdr:colOff>428625</xdr:colOff>
                    <xdr:row>93</xdr:row>
                    <xdr:rowOff>85725</xdr:rowOff>
                  </from>
                  <to>
                    <xdr:col>6</xdr:col>
                    <xdr:colOff>933450</xdr:colOff>
                    <xdr:row>93</xdr:row>
                    <xdr:rowOff>304800</xdr:rowOff>
                  </to>
                </anchor>
              </controlPr>
            </control>
          </mc:Choice>
        </mc:AlternateContent>
        <mc:AlternateContent xmlns:mc="http://schemas.openxmlformats.org/markup-compatibility/2006">
          <mc:Choice Requires="x14">
            <control shapeId="112523" r:id="rId58" name="Drop Down 2955">
              <controlPr locked="0" defaultSize="0" autoFill="0" autoPict="0">
                <anchor moveWithCells="1">
                  <from>
                    <xdr:col>6</xdr:col>
                    <xdr:colOff>428625</xdr:colOff>
                    <xdr:row>95</xdr:row>
                    <xdr:rowOff>85725</xdr:rowOff>
                  </from>
                  <to>
                    <xdr:col>6</xdr:col>
                    <xdr:colOff>933450</xdr:colOff>
                    <xdr:row>95</xdr:row>
                    <xdr:rowOff>304800</xdr:rowOff>
                  </to>
                </anchor>
              </controlPr>
            </control>
          </mc:Choice>
        </mc:AlternateContent>
        <mc:AlternateContent xmlns:mc="http://schemas.openxmlformats.org/markup-compatibility/2006">
          <mc:Choice Requires="x14">
            <control shapeId="112524" r:id="rId59" name="Drop Down 2956">
              <controlPr locked="0" defaultSize="0" autoFill="0" autoPict="0">
                <anchor moveWithCells="1">
                  <from>
                    <xdr:col>6</xdr:col>
                    <xdr:colOff>428625</xdr:colOff>
                    <xdr:row>97</xdr:row>
                    <xdr:rowOff>85725</xdr:rowOff>
                  </from>
                  <to>
                    <xdr:col>6</xdr:col>
                    <xdr:colOff>933450</xdr:colOff>
                    <xdr:row>97</xdr:row>
                    <xdr:rowOff>304800</xdr:rowOff>
                  </to>
                </anchor>
              </controlPr>
            </control>
          </mc:Choice>
        </mc:AlternateContent>
        <mc:AlternateContent xmlns:mc="http://schemas.openxmlformats.org/markup-compatibility/2006">
          <mc:Choice Requires="x14">
            <control shapeId="112525" r:id="rId60" name="Drop Down 2957">
              <controlPr locked="0" defaultSize="0" autoFill="0" autoPict="0">
                <anchor moveWithCells="1">
                  <from>
                    <xdr:col>6</xdr:col>
                    <xdr:colOff>428625</xdr:colOff>
                    <xdr:row>99</xdr:row>
                    <xdr:rowOff>85725</xdr:rowOff>
                  </from>
                  <to>
                    <xdr:col>6</xdr:col>
                    <xdr:colOff>933450</xdr:colOff>
                    <xdr:row>99</xdr:row>
                    <xdr:rowOff>304800</xdr:rowOff>
                  </to>
                </anchor>
              </controlPr>
            </control>
          </mc:Choice>
        </mc:AlternateContent>
        <mc:AlternateContent xmlns:mc="http://schemas.openxmlformats.org/markup-compatibility/2006">
          <mc:Choice Requires="x14">
            <control shapeId="112526" r:id="rId61" name="Drop Down 2958">
              <controlPr locked="0" defaultSize="0" autoFill="0" autoPict="0">
                <anchor moveWithCells="1">
                  <from>
                    <xdr:col>6</xdr:col>
                    <xdr:colOff>428625</xdr:colOff>
                    <xdr:row>101</xdr:row>
                    <xdr:rowOff>85725</xdr:rowOff>
                  </from>
                  <to>
                    <xdr:col>6</xdr:col>
                    <xdr:colOff>933450</xdr:colOff>
                    <xdr:row>101</xdr:row>
                    <xdr:rowOff>304800</xdr:rowOff>
                  </to>
                </anchor>
              </controlPr>
            </control>
          </mc:Choice>
        </mc:AlternateContent>
        <mc:AlternateContent xmlns:mc="http://schemas.openxmlformats.org/markup-compatibility/2006">
          <mc:Choice Requires="x14">
            <control shapeId="112527" r:id="rId62" name="Drop Down 2959">
              <controlPr locked="0" defaultSize="0" autoFill="0" autoPict="0">
                <anchor moveWithCells="1">
                  <from>
                    <xdr:col>6</xdr:col>
                    <xdr:colOff>428625</xdr:colOff>
                    <xdr:row>102</xdr:row>
                    <xdr:rowOff>85725</xdr:rowOff>
                  </from>
                  <to>
                    <xdr:col>6</xdr:col>
                    <xdr:colOff>933450</xdr:colOff>
                    <xdr:row>102</xdr:row>
                    <xdr:rowOff>304800</xdr:rowOff>
                  </to>
                </anchor>
              </controlPr>
            </control>
          </mc:Choice>
        </mc:AlternateContent>
        <mc:AlternateContent xmlns:mc="http://schemas.openxmlformats.org/markup-compatibility/2006">
          <mc:Choice Requires="x14">
            <control shapeId="112528" r:id="rId63" name="Drop Down 2960">
              <controlPr locked="0" defaultSize="0" autoFill="0" autoPict="0">
                <anchor moveWithCells="1">
                  <from>
                    <xdr:col>6</xdr:col>
                    <xdr:colOff>428625</xdr:colOff>
                    <xdr:row>104</xdr:row>
                    <xdr:rowOff>85725</xdr:rowOff>
                  </from>
                  <to>
                    <xdr:col>6</xdr:col>
                    <xdr:colOff>933450</xdr:colOff>
                    <xdr:row>104</xdr:row>
                    <xdr:rowOff>304800</xdr:rowOff>
                  </to>
                </anchor>
              </controlPr>
            </control>
          </mc:Choice>
        </mc:AlternateContent>
        <mc:AlternateContent xmlns:mc="http://schemas.openxmlformats.org/markup-compatibility/2006">
          <mc:Choice Requires="x14">
            <control shapeId="112529" r:id="rId64" name="Drop Down 2961">
              <controlPr locked="0" defaultSize="0" autoFill="0" autoPict="0">
                <anchor moveWithCells="1">
                  <from>
                    <xdr:col>6</xdr:col>
                    <xdr:colOff>428625</xdr:colOff>
                    <xdr:row>106</xdr:row>
                    <xdr:rowOff>85725</xdr:rowOff>
                  </from>
                  <to>
                    <xdr:col>6</xdr:col>
                    <xdr:colOff>933450</xdr:colOff>
                    <xdr:row>106</xdr:row>
                    <xdr:rowOff>304800</xdr:rowOff>
                  </to>
                </anchor>
              </controlPr>
            </control>
          </mc:Choice>
        </mc:AlternateContent>
        <mc:AlternateContent xmlns:mc="http://schemas.openxmlformats.org/markup-compatibility/2006">
          <mc:Choice Requires="x14">
            <control shapeId="112530" r:id="rId65" name="Drop Down 2962">
              <controlPr locked="0" defaultSize="0" autoFill="0" autoPict="0">
                <anchor moveWithCells="1">
                  <from>
                    <xdr:col>6</xdr:col>
                    <xdr:colOff>428625</xdr:colOff>
                    <xdr:row>108</xdr:row>
                    <xdr:rowOff>85725</xdr:rowOff>
                  </from>
                  <to>
                    <xdr:col>6</xdr:col>
                    <xdr:colOff>933450</xdr:colOff>
                    <xdr:row>108</xdr:row>
                    <xdr:rowOff>304800</xdr:rowOff>
                  </to>
                </anchor>
              </controlPr>
            </control>
          </mc:Choice>
        </mc:AlternateContent>
        <mc:AlternateContent xmlns:mc="http://schemas.openxmlformats.org/markup-compatibility/2006">
          <mc:Choice Requires="x14">
            <control shapeId="112531" r:id="rId66" name="Drop Down 2963">
              <controlPr locked="0" defaultSize="0" autoFill="0" autoPict="0">
                <anchor moveWithCells="1">
                  <from>
                    <xdr:col>6</xdr:col>
                    <xdr:colOff>428625</xdr:colOff>
                    <xdr:row>110</xdr:row>
                    <xdr:rowOff>85725</xdr:rowOff>
                  </from>
                  <to>
                    <xdr:col>6</xdr:col>
                    <xdr:colOff>933450</xdr:colOff>
                    <xdr:row>110</xdr:row>
                    <xdr:rowOff>304800</xdr:rowOff>
                  </to>
                </anchor>
              </controlPr>
            </control>
          </mc:Choice>
        </mc:AlternateContent>
        <mc:AlternateContent xmlns:mc="http://schemas.openxmlformats.org/markup-compatibility/2006">
          <mc:Choice Requires="x14">
            <control shapeId="112532" r:id="rId67" name="Drop Down 2964">
              <controlPr locked="0" defaultSize="0" autoFill="0" autoPict="0">
                <anchor moveWithCells="1">
                  <from>
                    <xdr:col>6</xdr:col>
                    <xdr:colOff>428625</xdr:colOff>
                    <xdr:row>112</xdr:row>
                    <xdr:rowOff>85725</xdr:rowOff>
                  </from>
                  <to>
                    <xdr:col>6</xdr:col>
                    <xdr:colOff>933450</xdr:colOff>
                    <xdr:row>112</xdr:row>
                    <xdr:rowOff>304800</xdr:rowOff>
                  </to>
                </anchor>
              </controlPr>
            </control>
          </mc:Choice>
        </mc:AlternateContent>
        <mc:AlternateContent xmlns:mc="http://schemas.openxmlformats.org/markup-compatibility/2006">
          <mc:Choice Requires="x14">
            <control shapeId="112533" r:id="rId68" name="Drop Down 2965">
              <controlPr locked="0" defaultSize="0" autoFill="0" autoPict="0">
                <anchor moveWithCells="1">
                  <from>
                    <xdr:col>6</xdr:col>
                    <xdr:colOff>428625</xdr:colOff>
                    <xdr:row>113</xdr:row>
                    <xdr:rowOff>85725</xdr:rowOff>
                  </from>
                  <to>
                    <xdr:col>6</xdr:col>
                    <xdr:colOff>933450</xdr:colOff>
                    <xdr:row>113</xdr:row>
                    <xdr:rowOff>304800</xdr:rowOff>
                  </to>
                </anchor>
              </controlPr>
            </control>
          </mc:Choice>
        </mc:AlternateContent>
        <mc:AlternateContent xmlns:mc="http://schemas.openxmlformats.org/markup-compatibility/2006">
          <mc:Choice Requires="x14">
            <control shapeId="112534" r:id="rId69" name="Drop Down 2966">
              <controlPr locked="0" defaultSize="0" autoFill="0" autoPict="0">
                <anchor moveWithCells="1">
                  <from>
                    <xdr:col>6</xdr:col>
                    <xdr:colOff>428625</xdr:colOff>
                    <xdr:row>115</xdr:row>
                    <xdr:rowOff>85725</xdr:rowOff>
                  </from>
                  <to>
                    <xdr:col>6</xdr:col>
                    <xdr:colOff>933450</xdr:colOff>
                    <xdr:row>115</xdr:row>
                    <xdr:rowOff>304800</xdr:rowOff>
                  </to>
                </anchor>
              </controlPr>
            </control>
          </mc:Choice>
        </mc:AlternateContent>
        <mc:AlternateContent xmlns:mc="http://schemas.openxmlformats.org/markup-compatibility/2006">
          <mc:Choice Requires="x14">
            <control shapeId="112535" r:id="rId70" name="Drop Down 2967">
              <controlPr locked="0" defaultSize="0" autoFill="0" autoPict="0">
                <anchor moveWithCells="1">
                  <from>
                    <xdr:col>6</xdr:col>
                    <xdr:colOff>428625</xdr:colOff>
                    <xdr:row>116</xdr:row>
                    <xdr:rowOff>85725</xdr:rowOff>
                  </from>
                  <to>
                    <xdr:col>6</xdr:col>
                    <xdr:colOff>933450</xdr:colOff>
                    <xdr:row>116</xdr:row>
                    <xdr:rowOff>304800</xdr:rowOff>
                  </to>
                </anchor>
              </controlPr>
            </control>
          </mc:Choice>
        </mc:AlternateContent>
        <mc:AlternateContent xmlns:mc="http://schemas.openxmlformats.org/markup-compatibility/2006">
          <mc:Choice Requires="x14">
            <control shapeId="112536" r:id="rId71" name="Drop Down 2968">
              <controlPr locked="0" defaultSize="0" autoFill="0" autoPict="0">
                <anchor moveWithCells="1">
                  <from>
                    <xdr:col>6</xdr:col>
                    <xdr:colOff>428625</xdr:colOff>
                    <xdr:row>117</xdr:row>
                    <xdr:rowOff>85725</xdr:rowOff>
                  </from>
                  <to>
                    <xdr:col>6</xdr:col>
                    <xdr:colOff>933450</xdr:colOff>
                    <xdr:row>117</xdr:row>
                    <xdr:rowOff>304800</xdr:rowOff>
                  </to>
                </anchor>
              </controlPr>
            </control>
          </mc:Choice>
        </mc:AlternateContent>
        <mc:AlternateContent xmlns:mc="http://schemas.openxmlformats.org/markup-compatibility/2006">
          <mc:Choice Requires="x14">
            <control shapeId="112537" r:id="rId72" name="Drop Down 2969">
              <controlPr locked="0" defaultSize="0" autoFill="0" autoPict="0">
                <anchor moveWithCells="1">
                  <from>
                    <xdr:col>6</xdr:col>
                    <xdr:colOff>428625</xdr:colOff>
                    <xdr:row>119</xdr:row>
                    <xdr:rowOff>85725</xdr:rowOff>
                  </from>
                  <to>
                    <xdr:col>6</xdr:col>
                    <xdr:colOff>933450</xdr:colOff>
                    <xdr:row>119</xdr:row>
                    <xdr:rowOff>304800</xdr:rowOff>
                  </to>
                </anchor>
              </controlPr>
            </control>
          </mc:Choice>
        </mc:AlternateContent>
        <mc:AlternateContent xmlns:mc="http://schemas.openxmlformats.org/markup-compatibility/2006">
          <mc:Choice Requires="x14">
            <control shapeId="112538" r:id="rId73" name="Drop Down 2970">
              <controlPr locked="0" defaultSize="0" autoFill="0" autoPict="0">
                <anchor moveWithCells="1">
                  <from>
                    <xdr:col>6</xdr:col>
                    <xdr:colOff>428625</xdr:colOff>
                    <xdr:row>121</xdr:row>
                    <xdr:rowOff>85725</xdr:rowOff>
                  </from>
                  <to>
                    <xdr:col>6</xdr:col>
                    <xdr:colOff>933450</xdr:colOff>
                    <xdr:row>121</xdr:row>
                    <xdr:rowOff>304800</xdr:rowOff>
                  </to>
                </anchor>
              </controlPr>
            </control>
          </mc:Choice>
        </mc:AlternateContent>
        <mc:AlternateContent xmlns:mc="http://schemas.openxmlformats.org/markup-compatibility/2006">
          <mc:Choice Requires="x14">
            <control shapeId="112539" r:id="rId74" name="Drop Down 2971">
              <controlPr locked="0" defaultSize="0" autoFill="0" autoPict="0">
                <anchor moveWithCells="1">
                  <from>
                    <xdr:col>6</xdr:col>
                    <xdr:colOff>428625</xdr:colOff>
                    <xdr:row>122</xdr:row>
                    <xdr:rowOff>85725</xdr:rowOff>
                  </from>
                  <to>
                    <xdr:col>6</xdr:col>
                    <xdr:colOff>933450</xdr:colOff>
                    <xdr:row>122</xdr:row>
                    <xdr:rowOff>304800</xdr:rowOff>
                  </to>
                </anchor>
              </controlPr>
            </control>
          </mc:Choice>
        </mc:AlternateContent>
        <mc:AlternateContent xmlns:mc="http://schemas.openxmlformats.org/markup-compatibility/2006">
          <mc:Choice Requires="x14">
            <control shapeId="112540" r:id="rId75" name="Drop Down 2972">
              <controlPr locked="0" defaultSize="0" autoFill="0" autoPict="0">
                <anchor moveWithCells="1">
                  <from>
                    <xdr:col>6</xdr:col>
                    <xdr:colOff>428625</xdr:colOff>
                    <xdr:row>124</xdr:row>
                    <xdr:rowOff>85725</xdr:rowOff>
                  </from>
                  <to>
                    <xdr:col>6</xdr:col>
                    <xdr:colOff>933450</xdr:colOff>
                    <xdr:row>124</xdr:row>
                    <xdr:rowOff>304800</xdr:rowOff>
                  </to>
                </anchor>
              </controlPr>
            </control>
          </mc:Choice>
        </mc:AlternateContent>
        <mc:AlternateContent xmlns:mc="http://schemas.openxmlformats.org/markup-compatibility/2006">
          <mc:Choice Requires="x14">
            <control shapeId="112541" r:id="rId76" name="Drop Down 2973">
              <controlPr locked="0" defaultSize="0" autoFill="0" autoPict="0">
                <anchor moveWithCells="1">
                  <from>
                    <xdr:col>6</xdr:col>
                    <xdr:colOff>428625</xdr:colOff>
                    <xdr:row>127</xdr:row>
                    <xdr:rowOff>85725</xdr:rowOff>
                  </from>
                  <to>
                    <xdr:col>6</xdr:col>
                    <xdr:colOff>933450</xdr:colOff>
                    <xdr:row>127</xdr:row>
                    <xdr:rowOff>304800</xdr:rowOff>
                  </to>
                </anchor>
              </controlPr>
            </control>
          </mc:Choice>
        </mc:AlternateContent>
        <mc:AlternateContent xmlns:mc="http://schemas.openxmlformats.org/markup-compatibility/2006">
          <mc:Choice Requires="x14">
            <control shapeId="112542" r:id="rId77" name="Drop Down 2974">
              <controlPr locked="0" defaultSize="0" autoFill="0" autoPict="0">
                <anchor moveWithCells="1">
                  <from>
                    <xdr:col>6</xdr:col>
                    <xdr:colOff>428625</xdr:colOff>
                    <xdr:row>128</xdr:row>
                    <xdr:rowOff>85725</xdr:rowOff>
                  </from>
                  <to>
                    <xdr:col>6</xdr:col>
                    <xdr:colOff>933450</xdr:colOff>
                    <xdr:row>128</xdr:row>
                    <xdr:rowOff>304800</xdr:rowOff>
                  </to>
                </anchor>
              </controlPr>
            </control>
          </mc:Choice>
        </mc:AlternateContent>
        <mc:AlternateContent xmlns:mc="http://schemas.openxmlformats.org/markup-compatibility/2006">
          <mc:Choice Requires="x14">
            <control shapeId="112543" r:id="rId78" name="Drop Down 2975">
              <controlPr locked="0" defaultSize="0" autoFill="0" autoPict="0">
                <anchor moveWithCells="1">
                  <from>
                    <xdr:col>6</xdr:col>
                    <xdr:colOff>428625</xdr:colOff>
                    <xdr:row>130</xdr:row>
                    <xdr:rowOff>85725</xdr:rowOff>
                  </from>
                  <to>
                    <xdr:col>6</xdr:col>
                    <xdr:colOff>933450</xdr:colOff>
                    <xdr:row>130</xdr:row>
                    <xdr:rowOff>304800</xdr:rowOff>
                  </to>
                </anchor>
              </controlPr>
            </control>
          </mc:Choice>
        </mc:AlternateContent>
        <mc:AlternateContent xmlns:mc="http://schemas.openxmlformats.org/markup-compatibility/2006">
          <mc:Choice Requires="x14">
            <control shapeId="112544" r:id="rId79" name="Drop Down 2976">
              <controlPr locked="0" defaultSize="0" autoFill="0" autoPict="0">
                <anchor moveWithCells="1">
                  <from>
                    <xdr:col>6</xdr:col>
                    <xdr:colOff>428625</xdr:colOff>
                    <xdr:row>131</xdr:row>
                    <xdr:rowOff>85725</xdr:rowOff>
                  </from>
                  <to>
                    <xdr:col>6</xdr:col>
                    <xdr:colOff>933450</xdr:colOff>
                    <xdr:row>131</xdr:row>
                    <xdr:rowOff>304800</xdr:rowOff>
                  </to>
                </anchor>
              </controlPr>
            </control>
          </mc:Choice>
        </mc:AlternateContent>
        <mc:AlternateContent xmlns:mc="http://schemas.openxmlformats.org/markup-compatibility/2006">
          <mc:Choice Requires="x14">
            <control shapeId="112545" r:id="rId80" name="Drop Down 2977">
              <controlPr locked="0" defaultSize="0" autoFill="0" autoPict="0">
                <anchor moveWithCells="1">
                  <from>
                    <xdr:col>6</xdr:col>
                    <xdr:colOff>428625</xdr:colOff>
                    <xdr:row>132</xdr:row>
                    <xdr:rowOff>85725</xdr:rowOff>
                  </from>
                  <to>
                    <xdr:col>6</xdr:col>
                    <xdr:colOff>933450</xdr:colOff>
                    <xdr:row>132</xdr:row>
                    <xdr:rowOff>304800</xdr:rowOff>
                  </to>
                </anchor>
              </controlPr>
            </control>
          </mc:Choice>
        </mc:AlternateContent>
        <mc:AlternateContent xmlns:mc="http://schemas.openxmlformats.org/markup-compatibility/2006">
          <mc:Choice Requires="x14">
            <control shapeId="112547" r:id="rId81" name="Drop Down 2979">
              <controlPr locked="0" defaultSize="0" autoFill="0" autoPict="0">
                <anchor moveWithCells="1">
                  <from>
                    <xdr:col>6</xdr:col>
                    <xdr:colOff>428625</xdr:colOff>
                    <xdr:row>134</xdr:row>
                    <xdr:rowOff>85725</xdr:rowOff>
                  </from>
                  <to>
                    <xdr:col>6</xdr:col>
                    <xdr:colOff>933450</xdr:colOff>
                    <xdr:row>134</xdr:row>
                    <xdr:rowOff>304800</xdr:rowOff>
                  </to>
                </anchor>
              </controlPr>
            </control>
          </mc:Choice>
        </mc:AlternateContent>
        <mc:AlternateContent xmlns:mc="http://schemas.openxmlformats.org/markup-compatibility/2006">
          <mc:Choice Requires="x14">
            <control shapeId="112549" r:id="rId82" name="Drop Down 2981">
              <controlPr locked="0" defaultSize="0" autoFill="0" autoPict="0">
                <anchor moveWithCells="1">
                  <from>
                    <xdr:col>6</xdr:col>
                    <xdr:colOff>428625</xdr:colOff>
                    <xdr:row>136</xdr:row>
                    <xdr:rowOff>85725</xdr:rowOff>
                  </from>
                  <to>
                    <xdr:col>6</xdr:col>
                    <xdr:colOff>933450</xdr:colOff>
                    <xdr:row>136</xdr:row>
                    <xdr:rowOff>304800</xdr:rowOff>
                  </to>
                </anchor>
              </controlPr>
            </control>
          </mc:Choice>
        </mc:AlternateContent>
        <mc:AlternateContent xmlns:mc="http://schemas.openxmlformats.org/markup-compatibility/2006">
          <mc:Choice Requires="x14">
            <control shapeId="112553" r:id="rId83" name="Drop Down 2985">
              <controlPr locked="0" defaultSize="0" autoFill="0" autoPict="0">
                <anchor moveWithCells="1">
                  <from>
                    <xdr:col>6</xdr:col>
                    <xdr:colOff>428625</xdr:colOff>
                    <xdr:row>138</xdr:row>
                    <xdr:rowOff>85725</xdr:rowOff>
                  </from>
                  <to>
                    <xdr:col>6</xdr:col>
                    <xdr:colOff>933450</xdr:colOff>
                    <xdr:row>138</xdr:row>
                    <xdr:rowOff>304800</xdr:rowOff>
                  </to>
                </anchor>
              </controlPr>
            </control>
          </mc:Choice>
        </mc:AlternateContent>
        <mc:AlternateContent xmlns:mc="http://schemas.openxmlformats.org/markup-compatibility/2006">
          <mc:Choice Requires="x14">
            <control shapeId="112554" r:id="rId84" name="Drop Down 2986">
              <controlPr locked="0" defaultSize="0" autoFill="0" autoPict="0">
                <anchor moveWithCells="1">
                  <from>
                    <xdr:col>6</xdr:col>
                    <xdr:colOff>428625</xdr:colOff>
                    <xdr:row>139</xdr:row>
                    <xdr:rowOff>85725</xdr:rowOff>
                  </from>
                  <to>
                    <xdr:col>6</xdr:col>
                    <xdr:colOff>933450</xdr:colOff>
                    <xdr:row>139</xdr:row>
                    <xdr:rowOff>304800</xdr:rowOff>
                  </to>
                </anchor>
              </controlPr>
            </control>
          </mc:Choice>
        </mc:AlternateContent>
        <mc:AlternateContent xmlns:mc="http://schemas.openxmlformats.org/markup-compatibility/2006">
          <mc:Choice Requires="x14">
            <control shapeId="112555" r:id="rId85" name="Drop Down 2987">
              <controlPr locked="0" defaultSize="0" autoFill="0" autoPict="0">
                <anchor moveWithCells="1">
                  <from>
                    <xdr:col>6</xdr:col>
                    <xdr:colOff>428625</xdr:colOff>
                    <xdr:row>141</xdr:row>
                    <xdr:rowOff>85725</xdr:rowOff>
                  </from>
                  <to>
                    <xdr:col>6</xdr:col>
                    <xdr:colOff>933450</xdr:colOff>
                    <xdr:row>141</xdr:row>
                    <xdr:rowOff>304800</xdr:rowOff>
                  </to>
                </anchor>
              </controlPr>
            </control>
          </mc:Choice>
        </mc:AlternateContent>
        <mc:AlternateContent xmlns:mc="http://schemas.openxmlformats.org/markup-compatibility/2006">
          <mc:Choice Requires="x14">
            <control shapeId="112556" r:id="rId86" name="Drop Down 2988">
              <controlPr locked="0" defaultSize="0" autoFill="0" autoPict="0">
                <anchor moveWithCells="1">
                  <from>
                    <xdr:col>6</xdr:col>
                    <xdr:colOff>428625</xdr:colOff>
                    <xdr:row>143</xdr:row>
                    <xdr:rowOff>85725</xdr:rowOff>
                  </from>
                  <to>
                    <xdr:col>6</xdr:col>
                    <xdr:colOff>933450</xdr:colOff>
                    <xdr:row>143</xdr:row>
                    <xdr:rowOff>304800</xdr:rowOff>
                  </to>
                </anchor>
              </controlPr>
            </control>
          </mc:Choice>
        </mc:AlternateContent>
        <mc:AlternateContent xmlns:mc="http://schemas.openxmlformats.org/markup-compatibility/2006">
          <mc:Choice Requires="x14">
            <control shapeId="112557" r:id="rId87" name="Drop Down 2989">
              <controlPr locked="0" defaultSize="0" autoFill="0" autoPict="0">
                <anchor moveWithCells="1">
                  <from>
                    <xdr:col>6</xdr:col>
                    <xdr:colOff>428625</xdr:colOff>
                    <xdr:row>145</xdr:row>
                    <xdr:rowOff>85725</xdr:rowOff>
                  </from>
                  <to>
                    <xdr:col>6</xdr:col>
                    <xdr:colOff>933450</xdr:colOff>
                    <xdr:row>145</xdr:row>
                    <xdr:rowOff>304800</xdr:rowOff>
                  </to>
                </anchor>
              </controlPr>
            </control>
          </mc:Choice>
        </mc:AlternateContent>
        <mc:AlternateContent xmlns:mc="http://schemas.openxmlformats.org/markup-compatibility/2006">
          <mc:Choice Requires="x14">
            <control shapeId="112558" r:id="rId88" name="Drop Down 2990">
              <controlPr locked="0" defaultSize="0" autoFill="0" autoPict="0">
                <anchor moveWithCells="1">
                  <from>
                    <xdr:col>6</xdr:col>
                    <xdr:colOff>428625</xdr:colOff>
                    <xdr:row>147</xdr:row>
                    <xdr:rowOff>85725</xdr:rowOff>
                  </from>
                  <to>
                    <xdr:col>6</xdr:col>
                    <xdr:colOff>933450</xdr:colOff>
                    <xdr:row>147</xdr:row>
                    <xdr:rowOff>304800</xdr:rowOff>
                  </to>
                </anchor>
              </controlPr>
            </control>
          </mc:Choice>
        </mc:AlternateContent>
        <mc:AlternateContent xmlns:mc="http://schemas.openxmlformats.org/markup-compatibility/2006">
          <mc:Choice Requires="x14">
            <control shapeId="112559" r:id="rId89" name="Drop Down 2991">
              <controlPr locked="0" defaultSize="0" autoFill="0" autoPict="0">
                <anchor moveWithCells="1">
                  <from>
                    <xdr:col>6</xdr:col>
                    <xdr:colOff>428625</xdr:colOff>
                    <xdr:row>149</xdr:row>
                    <xdr:rowOff>85725</xdr:rowOff>
                  </from>
                  <to>
                    <xdr:col>6</xdr:col>
                    <xdr:colOff>933450</xdr:colOff>
                    <xdr:row>149</xdr:row>
                    <xdr:rowOff>304800</xdr:rowOff>
                  </to>
                </anchor>
              </controlPr>
            </control>
          </mc:Choice>
        </mc:AlternateContent>
        <mc:AlternateContent xmlns:mc="http://schemas.openxmlformats.org/markup-compatibility/2006">
          <mc:Choice Requires="x14">
            <control shapeId="112560" r:id="rId90" name="Drop Down 2992">
              <controlPr locked="0" defaultSize="0" autoFill="0" autoPict="0">
                <anchor moveWithCells="1">
                  <from>
                    <xdr:col>6</xdr:col>
                    <xdr:colOff>428625</xdr:colOff>
                    <xdr:row>150</xdr:row>
                    <xdr:rowOff>85725</xdr:rowOff>
                  </from>
                  <to>
                    <xdr:col>6</xdr:col>
                    <xdr:colOff>933450</xdr:colOff>
                    <xdr:row>150</xdr:row>
                    <xdr:rowOff>304800</xdr:rowOff>
                  </to>
                </anchor>
              </controlPr>
            </control>
          </mc:Choice>
        </mc:AlternateContent>
        <mc:AlternateContent xmlns:mc="http://schemas.openxmlformats.org/markup-compatibility/2006">
          <mc:Choice Requires="x14">
            <control shapeId="112561" r:id="rId91" name="Drop Down 2993">
              <controlPr locked="0" defaultSize="0" autoFill="0" autoPict="0">
                <anchor moveWithCells="1">
                  <from>
                    <xdr:col>6</xdr:col>
                    <xdr:colOff>428625</xdr:colOff>
                    <xdr:row>151</xdr:row>
                    <xdr:rowOff>85725</xdr:rowOff>
                  </from>
                  <to>
                    <xdr:col>6</xdr:col>
                    <xdr:colOff>933450</xdr:colOff>
                    <xdr:row>151</xdr:row>
                    <xdr:rowOff>304800</xdr:rowOff>
                  </to>
                </anchor>
              </controlPr>
            </control>
          </mc:Choice>
        </mc:AlternateContent>
        <mc:AlternateContent xmlns:mc="http://schemas.openxmlformats.org/markup-compatibility/2006">
          <mc:Choice Requires="x14">
            <control shapeId="112562" r:id="rId92" name="Drop Down 2994">
              <controlPr locked="0" defaultSize="0" autoFill="0" autoPict="0">
                <anchor moveWithCells="1">
                  <from>
                    <xdr:col>6</xdr:col>
                    <xdr:colOff>428625</xdr:colOff>
                    <xdr:row>153</xdr:row>
                    <xdr:rowOff>85725</xdr:rowOff>
                  </from>
                  <to>
                    <xdr:col>6</xdr:col>
                    <xdr:colOff>933450</xdr:colOff>
                    <xdr:row>153</xdr:row>
                    <xdr:rowOff>304800</xdr:rowOff>
                  </to>
                </anchor>
              </controlPr>
            </control>
          </mc:Choice>
        </mc:AlternateContent>
        <mc:AlternateContent xmlns:mc="http://schemas.openxmlformats.org/markup-compatibility/2006">
          <mc:Choice Requires="x14">
            <control shapeId="112563" r:id="rId93" name="Drop Down 2995">
              <controlPr locked="0" defaultSize="0" autoFill="0" autoPict="0">
                <anchor moveWithCells="1">
                  <from>
                    <xdr:col>6</xdr:col>
                    <xdr:colOff>428625</xdr:colOff>
                    <xdr:row>154</xdr:row>
                    <xdr:rowOff>85725</xdr:rowOff>
                  </from>
                  <to>
                    <xdr:col>6</xdr:col>
                    <xdr:colOff>933450</xdr:colOff>
                    <xdr:row>154</xdr:row>
                    <xdr:rowOff>304800</xdr:rowOff>
                  </to>
                </anchor>
              </controlPr>
            </control>
          </mc:Choice>
        </mc:AlternateContent>
        <mc:AlternateContent xmlns:mc="http://schemas.openxmlformats.org/markup-compatibility/2006">
          <mc:Choice Requires="x14">
            <control shapeId="112564" r:id="rId94" name="Drop Down 2996">
              <controlPr locked="0" defaultSize="0" autoFill="0" autoPict="0">
                <anchor moveWithCells="1">
                  <from>
                    <xdr:col>6</xdr:col>
                    <xdr:colOff>428625</xdr:colOff>
                    <xdr:row>156</xdr:row>
                    <xdr:rowOff>85725</xdr:rowOff>
                  </from>
                  <to>
                    <xdr:col>6</xdr:col>
                    <xdr:colOff>933450</xdr:colOff>
                    <xdr:row>156</xdr:row>
                    <xdr:rowOff>304800</xdr:rowOff>
                  </to>
                </anchor>
              </controlPr>
            </control>
          </mc:Choice>
        </mc:AlternateContent>
        <mc:AlternateContent xmlns:mc="http://schemas.openxmlformats.org/markup-compatibility/2006">
          <mc:Choice Requires="x14">
            <control shapeId="112565" r:id="rId95" name="Drop Down 2997">
              <controlPr locked="0" defaultSize="0" autoFill="0" autoPict="0">
                <anchor moveWithCells="1">
                  <from>
                    <xdr:col>6</xdr:col>
                    <xdr:colOff>428625</xdr:colOff>
                    <xdr:row>158</xdr:row>
                    <xdr:rowOff>85725</xdr:rowOff>
                  </from>
                  <to>
                    <xdr:col>6</xdr:col>
                    <xdr:colOff>933450</xdr:colOff>
                    <xdr:row>158</xdr:row>
                    <xdr:rowOff>304800</xdr:rowOff>
                  </to>
                </anchor>
              </controlPr>
            </control>
          </mc:Choice>
        </mc:AlternateContent>
        <mc:AlternateContent xmlns:mc="http://schemas.openxmlformats.org/markup-compatibility/2006">
          <mc:Choice Requires="x14">
            <control shapeId="112566" r:id="rId96" name="Drop Down 2998">
              <controlPr locked="0" defaultSize="0" autoFill="0" autoPict="0">
                <anchor moveWithCells="1">
                  <from>
                    <xdr:col>6</xdr:col>
                    <xdr:colOff>428625</xdr:colOff>
                    <xdr:row>160</xdr:row>
                    <xdr:rowOff>85725</xdr:rowOff>
                  </from>
                  <to>
                    <xdr:col>6</xdr:col>
                    <xdr:colOff>933450</xdr:colOff>
                    <xdr:row>160</xdr:row>
                    <xdr:rowOff>304800</xdr:rowOff>
                  </to>
                </anchor>
              </controlPr>
            </control>
          </mc:Choice>
        </mc:AlternateContent>
        <mc:AlternateContent xmlns:mc="http://schemas.openxmlformats.org/markup-compatibility/2006">
          <mc:Choice Requires="x14">
            <control shapeId="112567" r:id="rId97" name="Drop Down 2999">
              <controlPr locked="0" defaultSize="0" autoFill="0" autoPict="0">
                <anchor moveWithCells="1">
                  <from>
                    <xdr:col>6</xdr:col>
                    <xdr:colOff>428625</xdr:colOff>
                    <xdr:row>161</xdr:row>
                    <xdr:rowOff>85725</xdr:rowOff>
                  </from>
                  <to>
                    <xdr:col>6</xdr:col>
                    <xdr:colOff>933450</xdr:colOff>
                    <xdr:row>161</xdr:row>
                    <xdr:rowOff>304800</xdr:rowOff>
                  </to>
                </anchor>
              </controlPr>
            </control>
          </mc:Choice>
        </mc:AlternateContent>
        <mc:AlternateContent xmlns:mc="http://schemas.openxmlformats.org/markup-compatibility/2006">
          <mc:Choice Requires="x14">
            <control shapeId="112568" r:id="rId98" name="Drop Down 3000">
              <controlPr locked="0" defaultSize="0" autoFill="0" autoPict="0">
                <anchor moveWithCells="1">
                  <from>
                    <xdr:col>6</xdr:col>
                    <xdr:colOff>428625</xdr:colOff>
                    <xdr:row>162</xdr:row>
                    <xdr:rowOff>85725</xdr:rowOff>
                  </from>
                  <to>
                    <xdr:col>6</xdr:col>
                    <xdr:colOff>933450</xdr:colOff>
                    <xdr:row>162</xdr:row>
                    <xdr:rowOff>304800</xdr:rowOff>
                  </to>
                </anchor>
              </controlPr>
            </control>
          </mc:Choice>
        </mc:AlternateContent>
        <mc:AlternateContent xmlns:mc="http://schemas.openxmlformats.org/markup-compatibility/2006">
          <mc:Choice Requires="x14">
            <control shapeId="112569" r:id="rId99" name="Drop Down 3001">
              <controlPr locked="0" defaultSize="0" autoFill="0" autoPict="0">
                <anchor moveWithCells="1">
                  <from>
                    <xdr:col>6</xdr:col>
                    <xdr:colOff>428625</xdr:colOff>
                    <xdr:row>163</xdr:row>
                    <xdr:rowOff>85725</xdr:rowOff>
                  </from>
                  <to>
                    <xdr:col>6</xdr:col>
                    <xdr:colOff>933450</xdr:colOff>
                    <xdr:row>163</xdr:row>
                    <xdr:rowOff>304800</xdr:rowOff>
                  </to>
                </anchor>
              </controlPr>
            </control>
          </mc:Choice>
        </mc:AlternateContent>
        <mc:AlternateContent xmlns:mc="http://schemas.openxmlformats.org/markup-compatibility/2006">
          <mc:Choice Requires="x14">
            <control shapeId="112570" r:id="rId100" name="Drop Down 3002">
              <controlPr locked="0" defaultSize="0" autoFill="0" autoPict="0">
                <anchor moveWithCells="1">
                  <from>
                    <xdr:col>6</xdr:col>
                    <xdr:colOff>428625</xdr:colOff>
                    <xdr:row>164</xdr:row>
                    <xdr:rowOff>85725</xdr:rowOff>
                  </from>
                  <to>
                    <xdr:col>6</xdr:col>
                    <xdr:colOff>933450</xdr:colOff>
                    <xdr:row>164</xdr:row>
                    <xdr:rowOff>304800</xdr:rowOff>
                  </to>
                </anchor>
              </controlPr>
            </control>
          </mc:Choice>
        </mc:AlternateContent>
        <mc:AlternateContent xmlns:mc="http://schemas.openxmlformats.org/markup-compatibility/2006">
          <mc:Choice Requires="x14">
            <control shapeId="112571" r:id="rId101" name="Drop Down 3003">
              <controlPr locked="0" defaultSize="0" autoFill="0" autoPict="0">
                <anchor moveWithCells="1">
                  <from>
                    <xdr:col>6</xdr:col>
                    <xdr:colOff>428625</xdr:colOff>
                    <xdr:row>165</xdr:row>
                    <xdr:rowOff>85725</xdr:rowOff>
                  </from>
                  <to>
                    <xdr:col>6</xdr:col>
                    <xdr:colOff>933450</xdr:colOff>
                    <xdr:row>165</xdr:row>
                    <xdr:rowOff>304800</xdr:rowOff>
                  </to>
                </anchor>
              </controlPr>
            </control>
          </mc:Choice>
        </mc:AlternateContent>
        <mc:AlternateContent xmlns:mc="http://schemas.openxmlformats.org/markup-compatibility/2006">
          <mc:Choice Requires="x14">
            <control shapeId="112572" r:id="rId102" name="Drop Down 3004">
              <controlPr locked="0" defaultSize="0" autoFill="0" autoPict="0">
                <anchor moveWithCells="1">
                  <from>
                    <xdr:col>6</xdr:col>
                    <xdr:colOff>428625</xdr:colOff>
                    <xdr:row>168</xdr:row>
                    <xdr:rowOff>85725</xdr:rowOff>
                  </from>
                  <to>
                    <xdr:col>6</xdr:col>
                    <xdr:colOff>933450</xdr:colOff>
                    <xdr:row>168</xdr:row>
                    <xdr:rowOff>304800</xdr:rowOff>
                  </to>
                </anchor>
              </controlPr>
            </control>
          </mc:Choice>
        </mc:AlternateContent>
        <mc:AlternateContent xmlns:mc="http://schemas.openxmlformats.org/markup-compatibility/2006">
          <mc:Choice Requires="x14">
            <control shapeId="112573" r:id="rId103" name="Drop Down 3005">
              <controlPr locked="0" defaultSize="0" autoFill="0" autoPict="0">
                <anchor moveWithCells="1">
                  <from>
                    <xdr:col>6</xdr:col>
                    <xdr:colOff>428625</xdr:colOff>
                    <xdr:row>169</xdr:row>
                    <xdr:rowOff>85725</xdr:rowOff>
                  </from>
                  <to>
                    <xdr:col>6</xdr:col>
                    <xdr:colOff>933450</xdr:colOff>
                    <xdr:row>169</xdr:row>
                    <xdr:rowOff>304800</xdr:rowOff>
                  </to>
                </anchor>
              </controlPr>
            </control>
          </mc:Choice>
        </mc:AlternateContent>
        <mc:AlternateContent xmlns:mc="http://schemas.openxmlformats.org/markup-compatibility/2006">
          <mc:Choice Requires="x14">
            <control shapeId="112574" r:id="rId104" name="Drop Down 3006">
              <controlPr locked="0" defaultSize="0" autoFill="0" autoPict="0">
                <anchor moveWithCells="1">
                  <from>
                    <xdr:col>6</xdr:col>
                    <xdr:colOff>428625</xdr:colOff>
                    <xdr:row>171</xdr:row>
                    <xdr:rowOff>85725</xdr:rowOff>
                  </from>
                  <to>
                    <xdr:col>6</xdr:col>
                    <xdr:colOff>933450</xdr:colOff>
                    <xdr:row>171</xdr:row>
                    <xdr:rowOff>304800</xdr:rowOff>
                  </to>
                </anchor>
              </controlPr>
            </control>
          </mc:Choice>
        </mc:AlternateContent>
        <mc:AlternateContent xmlns:mc="http://schemas.openxmlformats.org/markup-compatibility/2006">
          <mc:Choice Requires="x14">
            <control shapeId="112575" r:id="rId105" name="Drop Down 3007">
              <controlPr locked="0" defaultSize="0" autoFill="0" autoPict="0">
                <anchor moveWithCells="1">
                  <from>
                    <xdr:col>6</xdr:col>
                    <xdr:colOff>428625</xdr:colOff>
                    <xdr:row>172</xdr:row>
                    <xdr:rowOff>85725</xdr:rowOff>
                  </from>
                  <to>
                    <xdr:col>6</xdr:col>
                    <xdr:colOff>933450</xdr:colOff>
                    <xdr:row>172</xdr:row>
                    <xdr:rowOff>304800</xdr:rowOff>
                  </to>
                </anchor>
              </controlPr>
            </control>
          </mc:Choice>
        </mc:AlternateContent>
        <mc:AlternateContent xmlns:mc="http://schemas.openxmlformats.org/markup-compatibility/2006">
          <mc:Choice Requires="x14">
            <control shapeId="112576" r:id="rId106" name="Drop Down 3008">
              <controlPr locked="0" defaultSize="0" autoFill="0" autoPict="0">
                <anchor moveWithCells="1">
                  <from>
                    <xdr:col>6</xdr:col>
                    <xdr:colOff>428625</xdr:colOff>
                    <xdr:row>173</xdr:row>
                    <xdr:rowOff>85725</xdr:rowOff>
                  </from>
                  <to>
                    <xdr:col>6</xdr:col>
                    <xdr:colOff>933450</xdr:colOff>
                    <xdr:row>173</xdr:row>
                    <xdr:rowOff>304800</xdr:rowOff>
                  </to>
                </anchor>
              </controlPr>
            </control>
          </mc:Choice>
        </mc:AlternateContent>
        <mc:AlternateContent xmlns:mc="http://schemas.openxmlformats.org/markup-compatibility/2006">
          <mc:Choice Requires="x14">
            <control shapeId="112577" r:id="rId107" name="Drop Down 3009">
              <controlPr locked="0" defaultSize="0" autoFill="0" autoPict="0">
                <anchor moveWithCells="1">
                  <from>
                    <xdr:col>6</xdr:col>
                    <xdr:colOff>428625</xdr:colOff>
                    <xdr:row>177</xdr:row>
                    <xdr:rowOff>85725</xdr:rowOff>
                  </from>
                  <to>
                    <xdr:col>6</xdr:col>
                    <xdr:colOff>933450</xdr:colOff>
                    <xdr:row>177</xdr:row>
                    <xdr:rowOff>304800</xdr:rowOff>
                  </to>
                </anchor>
              </controlPr>
            </control>
          </mc:Choice>
        </mc:AlternateContent>
        <mc:AlternateContent xmlns:mc="http://schemas.openxmlformats.org/markup-compatibility/2006">
          <mc:Choice Requires="x14">
            <control shapeId="112578" r:id="rId108" name="Drop Down 3010">
              <controlPr locked="0" defaultSize="0" autoFill="0" autoPict="0">
                <anchor moveWithCells="1">
                  <from>
                    <xdr:col>6</xdr:col>
                    <xdr:colOff>428625</xdr:colOff>
                    <xdr:row>178</xdr:row>
                    <xdr:rowOff>85725</xdr:rowOff>
                  </from>
                  <to>
                    <xdr:col>6</xdr:col>
                    <xdr:colOff>933450</xdr:colOff>
                    <xdr:row>178</xdr:row>
                    <xdr:rowOff>304800</xdr:rowOff>
                  </to>
                </anchor>
              </controlPr>
            </control>
          </mc:Choice>
        </mc:AlternateContent>
        <mc:AlternateContent xmlns:mc="http://schemas.openxmlformats.org/markup-compatibility/2006">
          <mc:Choice Requires="x14">
            <control shapeId="112579" r:id="rId109" name="Drop Down 3011">
              <controlPr locked="0" defaultSize="0" autoFill="0" autoPict="0">
                <anchor moveWithCells="1">
                  <from>
                    <xdr:col>6</xdr:col>
                    <xdr:colOff>428625</xdr:colOff>
                    <xdr:row>181</xdr:row>
                    <xdr:rowOff>85725</xdr:rowOff>
                  </from>
                  <to>
                    <xdr:col>6</xdr:col>
                    <xdr:colOff>933450</xdr:colOff>
                    <xdr:row>181</xdr:row>
                    <xdr:rowOff>304800</xdr:rowOff>
                  </to>
                </anchor>
              </controlPr>
            </control>
          </mc:Choice>
        </mc:AlternateContent>
        <mc:AlternateContent xmlns:mc="http://schemas.openxmlformats.org/markup-compatibility/2006">
          <mc:Choice Requires="x14">
            <control shapeId="112580" r:id="rId110" name="Drop Down 3012">
              <controlPr locked="0" defaultSize="0" autoFill="0" autoPict="0">
                <anchor moveWithCells="1">
                  <from>
                    <xdr:col>6</xdr:col>
                    <xdr:colOff>428625</xdr:colOff>
                    <xdr:row>182</xdr:row>
                    <xdr:rowOff>85725</xdr:rowOff>
                  </from>
                  <to>
                    <xdr:col>6</xdr:col>
                    <xdr:colOff>933450</xdr:colOff>
                    <xdr:row>182</xdr:row>
                    <xdr:rowOff>304800</xdr:rowOff>
                  </to>
                </anchor>
              </controlPr>
            </control>
          </mc:Choice>
        </mc:AlternateContent>
        <mc:AlternateContent xmlns:mc="http://schemas.openxmlformats.org/markup-compatibility/2006">
          <mc:Choice Requires="x14">
            <control shapeId="112581" r:id="rId111" name="Drop Down 3013">
              <controlPr locked="0" defaultSize="0" autoFill="0" autoPict="0">
                <anchor moveWithCells="1">
                  <from>
                    <xdr:col>6</xdr:col>
                    <xdr:colOff>428625</xdr:colOff>
                    <xdr:row>185</xdr:row>
                    <xdr:rowOff>85725</xdr:rowOff>
                  </from>
                  <to>
                    <xdr:col>6</xdr:col>
                    <xdr:colOff>933450</xdr:colOff>
                    <xdr:row>185</xdr:row>
                    <xdr:rowOff>304800</xdr:rowOff>
                  </to>
                </anchor>
              </controlPr>
            </control>
          </mc:Choice>
        </mc:AlternateContent>
        <mc:AlternateContent xmlns:mc="http://schemas.openxmlformats.org/markup-compatibility/2006">
          <mc:Choice Requires="x14">
            <control shapeId="112582" r:id="rId112" name="Drop Down 3014">
              <controlPr locked="0" defaultSize="0" autoFill="0" autoPict="0">
                <anchor moveWithCells="1">
                  <from>
                    <xdr:col>6</xdr:col>
                    <xdr:colOff>428625</xdr:colOff>
                    <xdr:row>186</xdr:row>
                    <xdr:rowOff>85725</xdr:rowOff>
                  </from>
                  <to>
                    <xdr:col>6</xdr:col>
                    <xdr:colOff>933450</xdr:colOff>
                    <xdr:row>186</xdr:row>
                    <xdr:rowOff>304800</xdr:rowOff>
                  </to>
                </anchor>
              </controlPr>
            </control>
          </mc:Choice>
        </mc:AlternateContent>
        <mc:AlternateContent xmlns:mc="http://schemas.openxmlformats.org/markup-compatibility/2006">
          <mc:Choice Requires="x14">
            <control shapeId="112583" r:id="rId113" name="Drop Down 3015">
              <controlPr locked="0" defaultSize="0" autoFill="0" autoPict="0">
                <anchor moveWithCells="1">
                  <from>
                    <xdr:col>6</xdr:col>
                    <xdr:colOff>428625</xdr:colOff>
                    <xdr:row>187</xdr:row>
                    <xdr:rowOff>85725</xdr:rowOff>
                  </from>
                  <to>
                    <xdr:col>6</xdr:col>
                    <xdr:colOff>933450</xdr:colOff>
                    <xdr:row>187</xdr:row>
                    <xdr:rowOff>304800</xdr:rowOff>
                  </to>
                </anchor>
              </controlPr>
            </control>
          </mc:Choice>
        </mc:AlternateContent>
        <mc:AlternateContent xmlns:mc="http://schemas.openxmlformats.org/markup-compatibility/2006">
          <mc:Choice Requires="x14">
            <control shapeId="112584" r:id="rId114" name="Drop Down 3016">
              <controlPr locked="0" defaultSize="0" autoFill="0" autoPict="0">
                <anchor moveWithCells="1">
                  <from>
                    <xdr:col>6</xdr:col>
                    <xdr:colOff>428625</xdr:colOff>
                    <xdr:row>190</xdr:row>
                    <xdr:rowOff>85725</xdr:rowOff>
                  </from>
                  <to>
                    <xdr:col>6</xdr:col>
                    <xdr:colOff>933450</xdr:colOff>
                    <xdr:row>190</xdr:row>
                    <xdr:rowOff>304800</xdr:rowOff>
                  </to>
                </anchor>
              </controlPr>
            </control>
          </mc:Choice>
        </mc:AlternateContent>
        <mc:AlternateContent xmlns:mc="http://schemas.openxmlformats.org/markup-compatibility/2006">
          <mc:Choice Requires="x14">
            <control shapeId="112585" r:id="rId115" name="Drop Down 3017">
              <controlPr locked="0" defaultSize="0" autoFill="0" autoPict="0">
                <anchor moveWithCells="1">
                  <from>
                    <xdr:col>6</xdr:col>
                    <xdr:colOff>428625</xdr:colOff>
                    <xdr:row>191</xdr:row>
                    <xdr:rowOff>85725</xdr:rowOff>
                  </from>
                  <to>
                    <xdr:col>6</xdr:col>
                    <xdr:colOff>933450</xdr:colOff>
                    <xdr:row>191</xdr:row>
                    <xdr:rowOff>304800</xdr:rowOff>
                  </to>
                </anchor>
              </controlPr>
            </control>
          </mc:Choice>
        </mc:AlternateContent>
        <mc:AlternateContent xmlns:mc="http://schemas.openxmlformats.org/markup-compatibility/2006">
          <mc:Choice Requires="x14">
            <control shapeId="112586" r:id="rId116" name="Drop Down 3018">
              <controlPr locked="0" defaultSize="0" autoFill="0" autoPict="0">
                <anchor moveWithCells="1">
                  <from>
                    <xdr:col>6</xdr:col>
                    <xdr:colOff>428625</xdr:colOff>
                    <xdr:row>194</xdr:row>
                    <xdr:rowOff>85725</xdr:rowOff>
                  </from>
                  <to>
                    <xdr:col>6</xdr:col>
                    <xdr:colOff>933450</xdr:colOff>
                    <xdr:row>194</xdr:row>
                    <xdr:rowOff>304800</xdr:rowOff>
                  </to>
                </anchor>
              </controlPr>
            </control>
          </mc:Choice>
        </mc:AlternateContent>
        <mc:AlternateContent xmlns:mc="http://schemas.openxmlformats.org/markup-compatibility/2006">
          <mc:Choice Requires="x14">
            <control shapeId="112587" r:id="rId117" name="Drop Down 3019">
              <controlPr locked="0" defaultSize="0" autoFill="0" autoPict="0">
                <anchor moveWithCells="1">
                  <from>
                    <xdr:col>6</xdr:col>
                    <xdr:colOff>428625</xdr:colOff>
                    <xdr:row>195</xdr:row>
                    <xdr:rowOff>85725</xdr:rowOff>
                  </from>
                  <to>
                    <xdr:col>6</xdr:col>
                    <xdr:colOff>933450</xdr:colOff>
                    <xdr:row>195</xdr:row>
                    <xdr:rowOff>304800</xdr:rowOff>
                  </to>
                </anchor>
              </controlPr>
            </control>
          </mc:Choice>
        </mc:AlternateContent>
        <mc:AlternateContent xmlns:mc="http://schemas.openxmlformats.org/markup-compatibility/2006">
          <mc:Choice Requires="x14">
            <control shapeId="112588" r:id="rId118" name="Drop Down 3020">
              <controlPr locked="0" defaultSize="0" autoFill="0" autoPict="0">
                <anchor moveWithCells="1">
                  <from>
                    <xdr:col>6</xdr:col>
                    <xdr:colOff>428625</xdr:colOff>
                    <xdr:row>196</xdr:row>
                    <xdr:rowOff>85725</xdr:rowOff>
                  </from>
                  <to>
                    <xdr:col>6</xdr:col>
                    <xdr:colOff>933450</xdr:colOff>
                    <xdr:row>196</xdr:row>
                    <xdr:rowOff>304800</xdr:rowOff>
                  </to>
                </anchor>
              </controlPr>
            </control>
          </mc:Choice>
        </mc:AlternateContent>
        <mc:AlternateContent xmlns:mc="http://schemas.openxmlformats.org/markup-compatibility/2006">
          <mc:Choice Requires="x14">
            <control shapeId="112589" r:id="rId119" name="Drop Down 3021">
              <controlPr locked="0" defaultSize="0" autoFill="0" autoPict="0">
                <anchor moveWithCells="1">
                  <from>
                    <xdr:col>6</xdr:col>
                    <xdr:colOff>428625</xdr:colOff>
                    <xdr:row>197</xdr:row>
                    <xdr:rowOff>85725</xdr:rowOff>
                  </from>
                  <to>
                    <xdr:col>6</xdr:col>
                    <xdr:colOff>933450</xdr:colOff>
                    <xdr:row>197</xdr:row>
                    <xdr:rowOff>304800</xdr:rowOff>
                  </to>
                </anchor>
              </controlPr>
            </control>
          </mc:Choice>
        </mc:AlternateContent>
        <mc:AlternateContent xmlns:mc="http://schemas.openxmlformats.org/markup-compatibility/2006">
          <mc:Choice Requires="x14">
            <control shapeId="112590" r:id="rId120" name="Drop Down 3022">
              <controlPr locked="0" defaultSize="0" autoFill="0" autoPict="0">
                <anchor moveWithCells="1">
                  <from>
                    <xdr:col>6</xdr:col>
                    <xdr:colOff>428625</xdr:colOff>
                    <xdr:row>199</xdr:row>
                    <xdr:rowOff>85725</xdr:rowOff>
                  </from>
                  <to>
                    <xdr:col>6</xdr:col>
                    <xdr:colOff>933450</xdr:colOff>
                    <xdr:row>199</xdr:row>
                    <xdr:rowOff>304800</xdr:rowOff>
                  </to>
                </anchor>
              </controlPr>
            </control>
          </mc:Choice>
        </mc:AlternateContent>
        <mc:AlternateContent xmlns:mc="http://schemas.openxmlformats.org/markup-compatibility/2006">
          <mc:Choice Requires="x14">
            <control shapeId="112591" r:id="rId121" name="Drop Down 3023">
              <controlPr locked="0" defaultSize="0" autoFill="0" autoPict="0">
                <anchor moveWithCells="1">
                  <from>
                    <xdr:col>6</xdr:col>
                    <xdr:colOff>428625</xdr:colOff>
                    <xdr:row>200</xdr:row>
                    <xdr:rowOff>85725</xdr:rowOff>
                  </from>
                  <to>
                    <xdr:col>6</xdr:col>
                    <xdr:colOff>933450</xdr:colOff>
                    <xdr:row>200</xdr:row>
                    <xdr:rowOff>304800</xdr:rowOff>
                  </to>
                </anchor>
              </controlPr>
            </control>
          </mc:Choice>
        </mc:AlternateContent>
        <mc:AlternateContent xmlns:mc="http://schemas.openxmlformats.org/markup-compatibility/2006">
          <mc:Choice Requires="x14">
            <control shapeId="112592" r:id="rId122" name="Drop Down 3024">
              <controlPr locked="0" defaultSize="0" autoFill="0" autoPict="0">
                <anchor moveWithCells="1">
                  <from>
                    <xdr:col>6</xdr:col>
                    <xdr:colOff>428625</xdr:colOff>
                    <xdr:row>201</xdr:row>
                    <xdr:rowOff>85725</xdr:rowOff>
                  </from>
                  <to>
                    <xdr:col>6</xdr:col>
                    <xdr:colOff>933450</xdr:colOff>
                    <xdr:row>201</xdr:row>
                    <xdr:rowOff>304800</xdr:rowOff>
                  </to>
                </anchor>
              </controlPr>
            </control>
          </mc:Choice>
        </mc:AlternateContent>
        <mc:AlternateContent xmlns:mc="http://schemas.openxmlformats.org/markup-compatibility/2006">
          <mc:Choice Requires="x14">
            <control shapeId="112593" r:id="rId123" name="Drop Down 3025">
              <controlPr locked="0" defaultSize="0" autoFill="0" autoPict="0">
                <anchor moveWithCells="1">
                  <from>
                    <xdr:col>6</xdr:col>
                    <xdr:colOff>428625</xdr:colOff>
                    <xdr:row>202</xdr:row>
                    <xdr:rowOff>85725</xdr:rowOff>
                  </from>
                  <to>
                    <xdr:col>6</xdr:col>
                    <xdr:colOff>933450</xdr:colOff>
                    <xdr:row>202</xdr:row>
                    <xdr:rowOff>304800</xdr:rowOff>
                  </to>
                </anchor>
              </controlPr>
            </control>
          </mc:Choice>
        </mc:AlternateContent>
        <mc:AlternateContent xmlns:mc="http://schemas.openxmlformats.org/markup-compatibility/2006">
          <mc:Choice Requires="x14">
            <control shapeId="112594" r:id="rId124" name="Drop Down 3026">
              <controlPr locked="0" defaultSize="0" autoFill="0" autoPict="0">
                <anchor moveWithCells="1">
                  <from>
                    <xdr:col>6</xdr:col>
                    <xdr:colOff>428625</xdr:colOff>
                    <xdr:row>203</xdr:row>
                    <xdr:rowOff>85725</xdr:rowOff>
                  </from>
                  <to>
                    <xdr:col>6</xdr:col>
                    <xdr:colOff>933450</xdr:colOff>
                    <xdr:row>203</xdr:row>
                    <xdr:rowOff>304800</xdr:rowOff>
                  </to>
                </anchor>
              </controlPr>
            </control>
          </mc:Choice>
        </mc:AlternateContent>
        <mc:AlternateContent xmlns:mc="http://schemas.openxmlformats.org/markup-compatibility/2006">
          <mc:Choice Requires="x14">
            <control shapeId="112595" r:id="rId125" name="Drop Down 3027">
              <controlPr locked="0" defaultSize="0" autoFill="0" autoPict="0">
                <anchor moveWithCells="1">
                  <from>
                    <xdr:col>6</xdr:col>
                    <xdr:colOff>428625</xdr:colOff>
                    <xdr:row>204</xdr:row>
                    <xdr:rowOff>85725</xdr:rowOff>
                  </from>
                  <to>
                    <xdr:col>6</xdr:col>
                    <xdr:colOff>933450</xdr:colOff>
                    <xdr:row>204</xdr:row>
                    <xdr:rowOff>304800</xdr:rowOff>
                  </to>
                </anchor>
              </controlPr>
            </control>
          </mc:Choice>
        </mc:AlternateContent>
        <mc:AlternateContent xmlns:mc="http://schemas.openxmlformats.org/markup-compatibility/2006">
          <mc:Choice Requires="x14">
            <control shapeId="79921" r:id="rId126" name="Drop Down 1073">
              <controlPr locked="0" defaultSize="0" autoFill="0" autoPict="0">
                <anchor moveWithCells="1">
                  <from>
                    <xdr:col>6</xdr:col>
                    <xdr:colOff>428625</xdr:colOff>
                    <xdr:row>9</xdr:row>
                    <xdr:rowOff>85725</xdr:rowOff>
                  </from>
                  <to>
                    <xdr:col>6</xdr:col>
                    <xdr:colOff>933450</xdr:colOff>
                    <xdr:row>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00B050"/>
    <pageSetUpPr autoPageBreaks="0" fitToPage="1"/>
  </sheetPr>
  <dimension ref="A1:AT61"/>
  <sheetViews>
    <sheetView showGridLines="0" zoomScale="80" zoomScaleNormal="80" workbookViewId="0">
      <selection activeCell="BC1" sqref="BC1"/>
    </sheetView>
  </sheetViews>
  <sheetFormatPr defaultColWidth="9.140625" defaultRowHeight="15" x14ac:dyDescent="0.25"/>
  <cols>
    <col min="1" max="1" width="4.140625" style="13" customWidth="1"/>
    <col min="2" max="2" width="3.42578125" style="13" hidden="1" customWidth="1"/>
    <col min="3" max="3" width="15.5703125" style="13" hidden="1" customWidth="1"/>
    <col min="4" max="4" width="51" style="13" customWidth="1"/>
    <col min="5" max="5" width="13.5703125" style="13" hidden="1" customWidth="1"/>
    <col min="6" max="6" width="18.7109375" style="13" customWidth="1"/>
    <col min="7" max="7" width="6.7109375" style="13" customWidth="1"/>
    <col min="8" max="8" width="18.7109375" style="13" customWidth="1"/>
    <col min="9" max="9" width="6.7109375" style="13" customWidth="1"/>
    <col min="10" max="10" width="14.42578125" style="13" customWidth="1"/>
    <col min="11" max="15" width="9.140625" style="13"/>
    <col min="16" max="18" width="9.140625" style="13" customWidth="1"/>
    <col min="19" max="24" width="9.140625" style="13"/>
    <col min="25" max="26" width="9.140625" style="13" customWidth="1"/>
    <col min="27" max="27" width="4.140625" style="275" hidden="1" customWidth="1"/>
    <col min="28" max="28" width="58.85546875" style="13" hidden="1" customWidth="1"/>
    <col min="29" max="29" width="5.5703125" style="13" hidden="1" customWidth="1"/>
    <col min="30" max="30" width="6.5703125" style="13" hidden="1" customWidth="1"/>
    <col min="31" max="32" width="2.42578125" style="13" hidden="1" customWidth="1"/>
    <col min="33" max="33" width="2.28515625" style="13" hidden="1" customWidth="1"/>
    <col min="34" max="35" width="2.42578125" style="13" hidden="1" customWidth="1"/>
    <col min="36" max="36" width="2.28515625" style="13" hidden="1" customWidth="1"/>
    <col min="37" max="39" width="5" style="13" hidden="1" customWidth="1"/>
    <col min="40" max="43" width="9.140625" style="13" hidden="1" customWidth="1"/>
    <col min="44" max="44" width="21.7109375" style="13" hidden="1" customWidth="1"/>
    <col min="45" max="46" width="9.140625" style="13" hidden="1" customWidth="1"/>
    <col min="47" max="48" width="9.140625" style="13" customWidth="1"/>
    <col min="49" max="16384" width="9.140625" style="13"/>
  </cols>
  <sheetData>
    <row r="1" spans="1:44" ht="111.6" customHeight="1" x14ac:dyDescent="0.25">
      <c r="D1" s="322" t="str">
        <f>"Aggregated maturity levels"&amp;CHAR(10)&amp;'Profile and Scope'!F5</f>
        <v xml:space="preserve">Aggregated maturity levels
</v>
      </c>
      <c r="E1" s="322"/>
      <c r="F1" s="322"/>
      <c r="G1" s="322"/>
      <c r="H1" s="322"/>
      <c r="I1" s="322"/>
      <c r="J1" s="124"/>
      <c r="K1" s="124"/>
      <c r="L1" s="124"/>
      <c r="M1" s="124"/>
      <c r="N1" s="124"/>
      <c r="O1" s="124"/>
      <c r="P1" s="124"/>
      <c r="Q1" s="124"/>
      <c r="R1" s="124"/>
      <c r="S1" s="124"/>
      <c r="T1" s="124"/>
      <c r="AE1" s="321" t="s">
        <v>67</v>
      </c>
      <c r="AF1" s="321"/>
      <c r="AG1" s="321"/>
      <c r="AH1" s="321" t="s">
        <v>215</v>
      </c>
      <c r="AI1" s="321"/>
      <c r="AJ1" s="321"/>
      <c r="AK1" s="321" t="s">
        <v>141</v>
      </c>
      <c r="AL1" s="321"/>
      <c r="AM1" s="321"/>
      <c r="AR1" s="49"/>
    </row>
    <row r="2" spans="1:44" s="7" customFormat="1" ht="31.5" x14ac:dyDescent="0.25">
      <c r="B2" s="6"/>
      <c r="C2" s="6"/>
      <c r="D2" s="34"/>
      <c r="E2" s="180"/>
      <c r="F2" s="315" t="s">
        <v>299</v>
      </c>
      <c r="G2" s="316"/>
      <c r="H2" s="315" t="s">
        <v>12</v>
      </c>
      <c r="I2" s="316"/>
      <c r="J2" s="180" t="s">
        <v>217</v>
      </c>
      <c r="K2"/>
      <c r="AA2" s="117"/>
      <c r="AC2" s="7" t="s">
        <v>300</v>
      </c>
      <c r="AD2" s="7" t="s">
        <v>13</v>
      </c>
      <c r="AE2" s="117" t="s">
        <v>96</v>
      </c>
      <c r="AF2" s="117" t="s">
        <v>97</v>
      </c>
      <c r="AG2" s="117" t="s">
        <v>98</v>
      </c>
      <c r="AH2" s="117" t="s">
        <v>96</v>
      </c>
      <c r="AI2" s="117" t="s">
        <v>97</v>
      </c>
      <c r="AJ2" s="117" t="s">
        <v>98</v>
      </c>
      <c r="AK2" s="117" t="s">
        <v>96</v>
      </c>
      <c r="AL2" s="117" t="s">
        <v>97</v>
      </c>
      <c r="AM2" s="117" t="s">
        <v>98</v>
      </c>
      <c r="AN2" s="117"/>
      <c r="AO2" s="117"/>
      <c r="AP2" s="117"/>
      <c r="AR2" s="183"/>
    </row>
    <row r="3" spans="1:44" ht="30" hidden="1" customHeight="1" x14ac:dyDescent="0.25">
      <c r="A3" s="7"/>
      <c r="B3" s="22"/>
      <c r="C3" s="22"/>
      <c r="D3" s="145"/>
      <c r="E3" s="149"/>
      <c r="F3" s="26"/>
      <c r="G3" s="27"/>
      <c r="H3" s="23"/>
      <c r="I3" s="25"/>
      <c r="AB3" s="28"/>
      <c r="AC3" s="28"/>
      <c r="AD3" s="30"/>
      <c r="AE3" s="30"/>
      <c r="AF3" s="30"/>
      <c r="AG3" s="30"/>
      <c r="AH3" s="30"/>
      <c r="AI3" s="30"/>
      <c r="AJ3" s="30"/>
      <c r="AK3" s="30"/>
      <c r="AL3" s="30"/>
    </row>
    <row r="4" spans="1:44" ht="30" customHeight="1" x14ac:dyDescent="0.25">
      <c r="A4" s="7"/>
      <c r="B4" s="94" t="str">
        <f ca="1">'MMAT Ref'!AB2</f>
        <v>A</v>
      </c>
      <c r="C4" s="94" t="str">
        <f t="shared" ref="C4:C28" ca="1" si="0">VLOOKUP(B4,MMAT_Text_Ref,3,FALSE)</f>
        <v>Preparation</v>
      </c>
      <c r="D4" s="176" t="str">
        <f t="shared" ref="D4:D28" ca="1" si="1">VLOOKUP(B4,MMAT_Text_Ref,2,FALSE)&amp; " - "&amp;C4</f>
        <v>Stage A - Preparation</v>
      </c>
      <c r="E4" s="177"/>
      <c r="F4" s="323" t="str">
        <f ca="1">$AR$4</f>
        <v>Maturity level: Level 1</v>
      </c>
      <c r="G4" s="323"/>
      <c r="H4" s="323"/>
      <c r="I4" s="323"/>
      <c r="J4" s="178"/>
      <c r="K4"/>
      <c r="L4"/>
      <c r="M4"/>
      <c r="P4" s="49" t="b">
        <v>1</v>
      </c>
      <c r="Q4" s="49" t="b">
        <v>1</v>
      </c>
      <c r="R4" s="49" t="b">
        <v>1</v>
      </c>
      <c r="AA4" s="275" t="str">
        <f>'MMAT Ref'!Q2</f>
        <v>A.1</v>
      </c>
      <c r="AB4" s="28" t="str">
        <f t="shared" ref="AB4:AB25" ca="1" si="2">AA4&amp;" - "&amp;VLOOKUP(AA4,MMAT_Text_Ref,3,FALSE)</f>
        <v>A.1 - Maintain a technical security assurance framework</v>
      </c>
      <c r="AC4" s="284">
        <f t="shared" ref="AC4:AC25" ca="1" si="3">VLOOKUP(AA4,MMAT_Results,2,FALSE)</f>
        <v>1</v>
      </c>
      <c r="AD4" s="285">
        <f t="shared" ref="AD4:AD25" ca="1" si="4">VLOOKUP(AA4,Aggregated_Maturity_Levels,7,FALSE)</f>
        <v>4</v>
      </c>
      <c r="AE4" s="285">
        <f ca="1">IF(LEFT($AB4,1)=AE$2,$AC4,"")</f>
        <v>1</v>
      </c>
      <c r="AF4" s="285"/>
      <c r="AG4" s="285"/>
      <c r="AH4" s="285">
        <f ca="1">IF(LEFT($AB4,1)=AH$2,$AD4,"")</f>
        <v>4</v>
      </c>
      <c r="AI4" s="285"/>
      <c r="AJ4" s="285"/>
      <c r="AK4" s="286">
        <f>J5</f>
        <v>3</v>
      </c>
      <c r="AL4" s="285"/>
      <c r="AM4" s="285"/>
      <c r="AR4" s="13" t="str">
        <f ca="1">"Maturity level: Level "&amp;MIN(G5:G11)</f>
        <v>Maturity level: Level 1</v>
      </c>
    </row>
    <row r="5" spans="1:44" ht="30" customHeight="1" x14ac:dyDescent="0.25">
      <c r="A5" s="7"/>
      <c r="B5" s="8" t="str">
        <f ca="1">'MMAT Ref'!AB3</f>
        <v>A.1</v>
      </c>
      <c r="C5" s="8" t="str">
        <f t="shared" ca="1" si="0"/>
        <v>Maintain a technical security assurance framework</v>
      </c>
      <c r="D5" s="146" t="str">
        <f t="shared" ca="1" si="1"/>
        <v>Step 1 - Maintain a technical security assurance framework</v>
      </c>
      <c r="E5" s="181"/>
      <c r="F5" s="26">
        <f t="shared" ref="F5:F11" ca="1" si="5">VLOOKUP(B5,MaturityLevelsTable,3,FALSE)</f>
        <v>1</v>
      </c>
      <c r="G5" s="246">
        <f ca="1">IF(ISERROR(F5),"",F5)</f>
        <v>1</v>
      </c>
      <c r="H5" s="23">
        <f>I5</f>
        <v>4</v>
      </c>
      <c r="I5" s="230">
        <f>Targets!F5</f>
        <v>4</v>
      </c>
      <c r="J5" s="247">
        <v>3</v>
      </c>
      <c r="AA5" s="275" t="str">
        <f>'MMAT Ref'!Q3</f>
        <v>A.2</v>
      </c>
      <c r="AB5" s="28" t="str">
        <f t="shared" ca="1" si="2"/>
        <v>A.2 - Establish a penetration testing governance structure</v>
      </c>
      <c r="AC5" s="284">
        <f t="shared" ca="1" si="3"/>
        <v>1</v>
      </c>
      <c r="AD5" s="285">
        <f t="shared" ca="1" si="4"/>
        <v>4</v>
      </c>
      <c r="AE5" s="285">
        <f ca="1">IF(LEFT($AB5,1)=AE$2,$AC5,"")</f>
        <v>1</v>
      </c>
      <c r="AF5" s="285"/>
      <c r="AG5" s="285"/>
      <c r="AH5" s="285">
        <f t="shared" ref="AH5:AH10" ca="1" si="6">IF(LEFT($AB5,1)=AH$2,$AD5,"")</f>
        <v>4</v>
      </c>
      <c r="AI5" s="285"/>
      <c r="AJ5" s="285"/>
      <c r="AK5" s="286">
        <f>J6</f>
        <v>3</v>
      </c>
      <c r="AL5" s="285"/>
      <c r="AM5" s="285"/>
      <c r="AR5" s="13" t="str">
        <f ca="1">"Maturity level: Level "&amp;MIN(G13:G21)</f>
        <v>Maturity level: Level 1</v>
      </c>
    </row>
    <row r="6" spans="1:44" ht="30" customHeight="1" x14ac:dyDescent="0.25">
      <c r="B6" s="8" t="str">
        <f ca="1">'MMAT Ref'!AB4</f>
        <v>A.2</v>
      </c>
      <c r="C6" s="8" t="str">
        <f t="shared" ca="1" si="0"/>
        <v>Establish a penetration testing governance structure</v>
      </c>
      <c r="D6" s="147" t="str">
        <f t="shared" ca="1" si="1"/>
        <v>Step 2 - Establish a penetration testing governance structure</v>
      </c>
      <c r="E6" s="181"/>
      <c r="F6" s="26">
        <f t="shared" ca="1" si="5"/>
        <v>1</v>
      </c>
      <c r="G6" s="246">
        <f t="shared" ref="G6:G8" ca="1" si="7">IF(ISERROR(F6),"",F6)</f>
        <v>1</v>
      </c>
      <c r="H6" s="23">
        <f t="shared" ref="H6:H8" si="8">I6</f>
        <v>4</v>
      </c>
      <c r="I6" s="230">
        <f>Targets!F6</f>
        <v>4</v>
      </c>
      <c r="J6" s="247">
        <v>3</v>
      </c>
      <c r="AA6" s="275" t="str">
        <f>'MMAT Ref'!Q4</f>
        <v>A.3</v>
      </c>
      <c r="AB6" s="28" t="str">
        <f t="shared" ca="1" si="2"/>
        <v>A.3 - Evaluate drivers for conducting penetration tests</v>
      </c>
      <c r="AC6" s="284">
        <f t="shared" ca="1" si="3"/>
        <v>1</v>
      </c>
      <c r="AD6" s="285">
        <f t="shared" ca="1" si="4"/>
        <v>4</v>
      </c>
      <c r="AE6" s="285">
        <f ca="1">IF(LEFT($AB6,1)=AE$2,$AC6,"")</f>
        <v>1</v>
      </c>
      <c r="AF6" s="285"/>
      <c r="AG6" s="285"/>
      <c r="AH6" s="285">
        <f t="shared" ca="1" si="6"/>
        <v>4</v>
      </c>
      <c r="AI6" s="285"/>
      <c r="AJ6" s="285"/>
      <c r="AK6" s="286">
        <f>J7</f>
        <v>3</v>
      </c>
      <c r="AL6" s="285"/>
      <c r="AM6" s="285"/>
      <c r="AR6" s="13" t="str">
        <f ca="1">"Maturity level: Level "&amp;MIN(G23:G28)</f>
        <v>Maturity level: Level 1</v>
      </c>
    </row>
    <row r="7" spans="1:44" ht="30" customHeight="1" x14ac:dyDescent="0.25">
      <c r="B7" s="8" t="str">
        <f ca="1">'MMAT Ref'!AB5</f>
        <v>A.3</v>
      </c>
      <c r="C7" s="8" t="str">
        <f t="shared" ca="1" si="0"/>
        <v>Evaluate drivers for conducting penetration tests</v>
      </c>
      <c r="D7" s="147" t="str">
        <f t="shared" ca="1" si="1"/>
        <v>Step 3 - Evaluate drivers for conducting penetration tests</v>
      </c>
      <c r="E7" s="181"/>
      <c r="F7" s="26">
        <f t="shared" ca="1" si="5"/>
        <v>1</v>
      </c>
      <c r="G7" s="246">
        <f t="shared" ca="1" si="7"/>
        <v>1</v>
      </c>
      <c r="H7" s="23">
        <f t="shared" si="8"/>
        <v>4</v>
      </c>
      <c r="I7" s="230">
        <f>Targets!F7</f>
        <v>4</v>
      </c>
      <c r="J7" s="247">
        <v>3</v>
      </c>
      <c r="AA7" s="275" t="str">
        <f>'MMAT Ref'!Q5</f>
        <v>A.4</v>
      </c>
      <c r="AB7" s="28" t="str">
        <f t="shared" ca="1" si="2"/>
        <v>A.4 - Identify target environments</v>
      </c>
      <c r="AC7" s="284">
        <f t="shared" ca="1" si="3"/>
        <v>1</v>
      </c>
      <c r="AD7" s="285">
        <f t="shared" ca="1" si="4"/>
        <v>4</v>
      </c>
      <c r="AE7" s="285">
        <f ca="1">IF(LEFT($AB7,1)=AE$2,$AC7,"")</f>
        <v>1</v>
      </c>
      <c r="AF7" s="285"/>
      <c r="AG7" s="285"/>
      <c r="AH7" s="285">
        <f t="shared" ca="1" si="6"/>
        <v>4</v>
      </c>
      <c r="AI7" s="285"/>
      <c r="AJ7" s="285"/>
      <c r="AK7" s="286">
        <f>J8</f>
        <v>3</v>
      </c>
      <c r="AL7" s="285"/>
      <c r="AM7" s="285"/>
    </row>
    <row r="8" spans="1:44" ht="30" customHeight="1" x14ac:dyDescent="0.25">
      <c r="B8" s="8" t="str">
        <f ca="1">'MMAT Ref'!AB6</f>
        <v>A.4</v>
      </c>
      <c r="C8" s="8" t="str">
        <f t="shared" ca="1" si="0"/>
        <v>Identify target environments</v>
      </c>
      <c r="D8" s="148" t="str">
        <f t="shared" ca="1" si="1"/>
        <v>Step 4 - Identify target environments</v>
      </c>
      <c r="E8" s="196"/>
      <c r="F8" s="26">
        <f t="shared" ca="1" si="5"/>
        <v>1</v>
      </c>
      <c r="G8" s="246">
        <f t="shared" ca="1" si="7"/>
        <v>1</v>
      </c>
      <c r="H8" s="23">
        <f t="shared" si="8"/>
        <v>4</v>
      </c>
      <c r="I8" s="230">
        <f>Targets!F8</f>
        <v>4</v>
      </c>
      <c r="J8" s="247">
        <v>3</v>
      </c>
      <c r="AA8" s="275" t="str">
        <f>'MMAT Ref'!Q6</f>
        <v>A.5</v>
      </c>
      <c r="AB8" s="28" t="str">
        <f t="shared" ca="1" si="2"/>
        <v>A.5 - Define the purpose of the penetration tests</v>
      </c>
      <c r="AC8" s="284">
        <f t="shared" ca="1" si="3"/>
        <v>1</v>
      </c>
      <c r="AD8" s="285">
        <f t="shared" ca="1" si="4"/>
        <v>4</v>
      </c>
      <c r="AE8" s="285">
        <f t="shared" ref="AE8:AE10" ca="1" si="9">IF(LEFT($AB8,1)=AE$2,$AC8,"")</f>
        <v>1</v>
      </c>
      <c r="AF8" s="285"/>
      <c r="AG8" s="285"/>
      <c r="AH8" s="285">
        <f t="shared" ca="1" si="6"/>
        <v>4</v>
      </c>
      <c r="AI8" s="285"/>
      <c r="AJ8" s="285"/>
      <c r="AK8" s="286">
        <f t="shared" ref="AK8:AK10" si="10">J9</f>
        <v>3</v>
      </c>
      <c r="AL8" s="286"/>
      <c r="AM8" s="285"/>
    </row>
    <row r="9" spans="1:44" ht="30" customHeight="1" x14ac:dyDescent="0.25">
      <c r="B9" s="8" t="str">
        <f ca="1">'MMAT Ref'!AB7</f>
        <v>A.5</v>
      </c>
      <c r="C9" s="8" t="str">
        <f t="shared" ca="1" si="0"/>
        <v>Define the purpose of the penetration tests</v>
      </c>
      <c r="D9" s="8" t="str">
        <f t="shared" ca="1" si="1"/>
        <v>Step 5 - Define the purpose of the penetration tests</v>
      </c>
      <c r="E9" s="196"/>
      <c r="F9" s="26">
        <f t="shared" ca="1" si="5"/>
        <v>1</v>
      </c>
      <c r="G9" s="246">
        <f t="shared" ref="G9" ca="1" si="11">IF(ISERROR(F9),"",F9)</f>
        <v>1</v>
      </c>
      <c r="H9" s="23">
        <f t="shared" ref="H9" si="12">I9</f>
        <v>4</v>
      </c>
      <c r="I9" s="230">
        <f>Targets!F9</f>
        <v>4</v>
      </c>
      <c r="J9" s="247">
        <v>3</v>
      </c>
      <c r="AA9" s="275" t="str">
        <f>'MMAT Ref'!Q7</f>
        <v>A.6</v>
      </c>
      <c r="AB9" s="28" t="str">
        <f t="shared" ca="1" si="2"/>
        <v>A.6 - Produce requirements specifications</v>
      </c>
      <c r="AC9" s="284">
        <f t="shared" ca="1" si="3"/>
        <v>1</v>
      </c>
      <c r="AD9" s="285">
        <f t="shared" ca="1" si="4"/>
        <v>4</v>
      </c>
      <c r="AE9" s="285">
        <f t="shared" ca="1" si="9"/>
        <v>1</v>
      </c>
      <c r="AF9" s="285"/>
      <c r="AG9" s="285"/>
      <c r="AH9" s="285">
        <f t="shared" ca="1" si="6"/>
        <v>4</v>
      </c>
      <c r="AI9" s="285"/>
      <c r="AJ9" s="285"/>
      <c r="AK9" s="286">
        <f t="shared" si="10"/>
        <v>3</v>
      </c>
      <c r="AL9" s="286"/>
      <c r="AM9" s="285"/>
    </row>
    <row r="10" spans="1:44" ht="30" customHeight="1" x14ac:dyDescent="0.25">
      <c r="B10" s="8" t="str">
        <f ca="1">'MMAT Ref'!AB8</f>
        <v>A.6</v>
      </c>
      <c r="C10" s="8" t="str">
        <f t="shared" ca="1" si="0"/>
        <v>Produce requirements specifications</v>
      </c>
      <c r="D10" s="146" t="str">
        <f t="shared" ca="1" si="1"/>
        <v>Step 6 - Produce requirements specifications</v>
      </c>
      <c r="E10" s="181"/>
      <c r="F10" s="26">
        <f t="shared" ca="1" si="5"/>
        <v>1</v>
      </c>
      <c r="G10" s="246">
        <f t="shared" ref="G10:G15" ca="1" si="13">IF(ISERROR(F10),"",F10)</f>
        <v>1</v>
      </c>
      <c r="H10" s="23">
        <f t="shared" ref="H10:H15" si="14">I10</f>
        <v>4</v>
      </c>
      <c r="I10" s="230">
        <f>Targets!F10</f>
        <v>4</v>
      </c>
      <c r="J10" s="247">
        <v>3</v>
      </c>
      <c r="AA10" s="275" t="str">
        <f>'MMAT Ref'!Q8</f>
        <v>A.7</v>
      </c>
      <c r="AB10" s="28" t="str">
        <f t="shared" ca="1" si="2"/>
        <v>A.7 - Select suitable suppliers</v>
      </c>
      <c r="AC10" s="284">
        <f t="shared" ca="1" si="3"/>
        <v>1</v>
      </c>
      <c r="AD10" s="285">
        <f t="shared" ca="1" si="4"/>
        <v>4</v>
      </c>
      <c r="AE10" s="285">
        <f t="shared" ca="1" si="9"/>
        <v>1</v>
      </c>
      <c r="AF10" s="285"/>
      <c r="AG10" s="285"/>
      <c r="AH10" s="285">
        <f t="shared" ca="1" si="6"/>
        <v>4</v>
      </c>
      <c r="AI10" s="285"/>
      <c r="AJ10" s="285"/>
      <c r="AK10" s="286">
        <f t="shared" si="10"/>
        <v>3</v>
      </c>
      <c r="AL10" s="286"/>
      <c r="AM10" s="285"/>
    </row>
    <row r="11" spans="1:44" ht="30" customHeight="1" x14ac:dyDescent="0.25">
      <c r="B11" s="8" t="str">
        <f ca="1">'MMAT Ref'!AB9</f>
        <v>A.7</v>
      </c>
      <c r="C11" s="8" t="str">
        <f t="shared" ca="1" si="0"/>
        <v>Select suitable suppliers</v>
      </c>
      <c r="D11" s="146" t="str">
        <f t="shared" ca="1" si="1"/>
        <v>Step 7 - Select suitable suppliers</v>
      </c>
      <c r="E11" s="181"/>
      <c r="F11" s="182">
        <f t="shared" ca="1" si="5"/>
        <v>1</v>
      </c>
      <c r="G11" s="246">
        <f t="shared" ca="1" si="13"/>
        <v>1</v>
      </c>
      <c r="H11" s="23">
        <f t="shared" si="14"/>
        <v>4</v>
      </c>
      <c r="I11" s="230">
        <f>Targets!F11</f>
        <v>4</v>
      </c>
      <c r="J11" s="247">
        <v>3</v>
      </c>
      <c r="AA11" s="275" t="str">
        <f>'MMAT Ref'!Q9</f>
        <v>B.1</v>
      </c>
      <c r="AB11" s="28" t="str">
        <f t="shared" ca="1" si="2"/>
        <v>B.1 - Agree testing style and type</v>
      </c>
      <c r="AC11" s="284">
        <f t="shared" ca="1" si="3"/>
        <v>1</v>
      </c>
      <c r="AD11" s="285">
        <f t="shared" ca="1" si="4"/>
        <v>4</v>
      </c>
      <c r="AE11" s="285"/>
      <c r="AF11" s="285">
        <f ca="1">IF(LEFT($AB11,1)=AF$2,$AC11,"")</f>
        <v>1</v>
      </c>
      <c r="AG11" s="285"/>
      <c r="AH11" s="285"/>
      <c r="AI11" s="285">
        <f t="shared" ref="AI11:AJ24" ca="1" si="15">IF(LEFT($AB11,1)=AI$2,$AD11,"")</f>
        <v>4</v>
      </c>
      <c r="AJ11" s="285"/>
      <c r="AK11" s="285"/>
      <c r="AL11" s="286">
        <f t="shared" ref="AL11:AL19" si="16">J13</f>
        <v>3</v>
      </c>
      <c r="AM11" s="285"/>
    </row>
    <row r="12" spans="1:44" ht="30" customHeight="1" x14ac:dyDescent="0.25">
      <c r="B12" s="94" t="str">
        <f ca="1">'MMAT Ref'!AB10</f>
        <v>B</v>
      </c>
      <c r="C12" s="94" t="str">
        <f t="shared" ca="1" si="0"/>
        <v>Testing</v>
      </c>
      <c r="D12" s="176" t="str">
        <f t="shared" ca="1" si="1"/>
        <v>Stage B - Testing</v>
      </c>
      <c r="E12" s="177"/>
      <c r="F12" s="323" t="str">
        <f ca="1">$AR$5</f>
        <v>Maturity level: Level 1</v>
      </c>
      <c r="G12" s="323"/>
      <c r="H12" s="323"/>
      <c r="I12" s="323"/>
      <c r="J12" s="197"/>
      <c r="AA12" s="275" t="str">
        <f>'MMAT Ref'!Q10</f>
        <v>B.2</v>
      </c>
      <c r="AB12" s="28" t="str">
        <f t="shared" ca="1" si="2"/>
        <v>B.2 - Identify testing constraints</v>
      </c>
      <c r="AC12" s="284">
        <f t="shared" ca="1" si="3"/>
        <v>1</v>
      </c>
      <c r="AD12" s="285">
        <f t="shared" ca="1" si="4"/>
        <v>4</v>
      </c>
      <c r="AE12" s="285"/>
      <c r="AF12" s="285">
        <f ca="1">IF(LEFT($AB12,1)=AF$2,$AC12,"")</f>
        <v>1</v>
      </c>
      <c r="AG12" s="285"/>
      <c r="AH12" s="285"/>
      <c r="AI12" s="285">
        <f t="shared" ca="1" si="15"/>
        <v>4</v>
      </c>
      <c r="AJ12" s="285"/>
      <c r="AK12" s="285"/>
      <c r="AL12" s="286">
        <f t="shared" si="16"/>
        <v>3</v>
      </c>
      <c r="AM12" s="285"/>
    </row>
    <row r="13" spans="1:44" ht="30" customHeight="1" x14ac:dyDescent="0.25">
      <c r="B13" s="8" t="str">
        <f ca="1">'MMAT Ref'!AB11</f>
        <v>B.1</v>
      </c>
      <c r="C13" s="8" t="str">
        <f t="shared" ca="1" si="0"/>
        <v>Agree testing style and type</v>
      </c>
      <c r="D13" s="146" t="str">
        <f t="shared" ca="1" si="1"/>
        <v>Step 1 - Agree testing style and type</v>
      </c>
      <c r="E13" s="181"/>
      <c r="F13" s="26">
        <f t="shared" ref="F13:F21" ca="1" si="17">VLOOKUP(B13,MaturityLevelsTable,3,FALSE)</f>
        <v>1</v>
      </c>
      <c r="G13" s="246">
        <f t="shared" ca="1" si="13"/>
        <v>1</v>
      </c>
      <c r="H13" s="23">
        <f t="shared" si="14"/>
        <v>4</v>
      </c>
      <c r="I13" s="230">
        <f>Targets!F13</f>
        <v>4</v>
      </c>
      <c r="J13" s="247">
        <v>3</v>
      </c>
      <c r="AA13" s="275" t="str">
        <f>'MMAT Ref'!Q11</f>
        <v>B.3</v>
      </c>
      <c r="AB13" s="28" t="str">
        <f t="shared" ca="1" si="2"/>
        <v>B.3 - Produce scope statements</v>
      </c>
      <c r="AC13" s="284">
        <f t="shared" ca="1" si="3"/>
        <v>1</v>
      </c>
      <c r="AD13" s="285">
        <f t="shared" ca="1" si="4"/>
        <v>4</v>
      </c>
      <c r="AE13" s="285"/>
      <c r="AF13" s="285">
        <f t="shared" ref="AF13:AG25" ca="1" si="18">IF(LEFT($AB13,1)=AF$2,$AC13,"")</f>
        <v>1</v>
      </c>
      <c r="AG13" s="285"/>
      <c r="AH13" s="285"/>
      <c r="AI13" s="285">
        <f t="shared" ca="1" si="15"/>
        <v>4</v>
      </c>
      <c r="AJ13" s="285"/>
      <c r="AK13" s="285"/>
      <c r="AL13" s="286">
        <f t="shared" si="16"/>
        <v>3</v>
      </c>
      <c r="AM13" s="286"/>
    </row>
    <row r="14" spans="1:44" ht="30" customHeight="1" x14ac:dyDescent="0.25">
      <c r="B14" s="8" t="str">
        <f ca="1">'MMAT Ref'!AB12</f>
        <v>B.2</v>
      </c>
      <c r="C14" s="8" t="str">
        <f t="shared" ca="1" si="0"/>
        <v>Identify testing constraints</v>
      </c>
      <c r="D14" s="8" t="str">
        <f t="shared" ca="1" si="1"/>
        <v>Step 2 - Identify testing constraints</v>
      </c>
      <c r="E14" s="196"/>
      <c r="F14" s="26">
        <f t="shared" ca="1" si="17"/>
        <v>1</v>
      </c>
      <c r="G14" s="246">
        <f t="shared" ca="1" si="13"/>
        <v>1</v>
      </c>
      <c r="H14" s="23">
        <f t="shared" si="14"/>
        <v>4</v>
      </c>
      <c r="I14" s="230">
        <f>Targets!F14</f>
        <v>4</v>
      </c>
      <c r="J14" s="247">
        <v>3</v>
      </c>
      <c r="AA14" s="275" t="str">
        <f>'MMAT Ref'!Q12</f>
        <v>B.4</v>
      </c>
      <c r="AB14" s="28" t="str">
        <f t="shared" ca="1" si="2"/>
        <v>B.4 - Establish a management assurance framework</v>
      </c>
      <c r="AC14" s="284">
        <f t="shared" ca="1" si="3"/>
        <v>1</v>
      </c>
      <c r="AD14" s="285">
        <f t="shared" ca="1" si="4"/>
        <v>4</v>
      </c>
      <c r="AE14" s="285"/>
      <c r="AF14" s="285">
        <f t="shared" ca="1" si="18"/>
        <v>1</v>
      </c>
      <c r="AG14" s="285"/>
      <c r="AH14" s="285"/>
      <c r="AI14" s="285">
        <f t="shared" ca="1" si="15"/>
        <v>4</v>
      </c>
      <c r="AJ14" s="285"/>
      <c r="AK14" s="285"/>
      <c r="AL14" s="286">
        <f t="shared" si="16"/>
        <v>3</v>
      </c>
      <c r="AM14" s="286"/>
    </row>
    <row r="15" spans="1:44" ht="30" customHeight="1" x14ac:dyDescent="0.25">
      <c r="B15" s="8" t="str">
        <f ca="1">'MMAT Ref'!AB13</f>
        <v>B.3</v>
      </c>
      <c r="C15" s="8" t="str">
        <f t="shared" ca="1" si="0"/>
        <v>Produce scope statements</v>
      </c>
      <c r="D15" s="8" t="str">
        <f t="shared" ca="1" si="1"/>
        <v>Step 3 - Produce scope statements</v>
      </c>
      <c r="E15" s="181"/>
      <c r="F15" s="26">
        <f t="shared" ca="1" si="17"/>
        <v>1</v>
      </c>
      <c r="G15" s="246">
        <f t="shared" ca="1" si="13"/>
        <v>1</v>
      </c>
      <c r="H15" s="23">
        <f t="shared" si="14"/>
        <v>4</v>
      </c>
      <c r="I15" s="230">
        <f>Targets!F15</f>
        <v>4</v>
      </c>
      <c r="J15" s="247">
        <v>3</v>
      </c>
      <c r="AA15" s="275" t="str">
        <f>'MMAT Ref'!Q13</f>
        <v>B.5</v>
      </c>
      <c r="AB15" s="28" t="str">
        <f t="shared" ca="1" si="2"/>
        <v>B.5 - Implement management control processes</v>
      </c>
      <c r="AC15" s="284">
        <f t="shared" ca="1" si="3"/>
        <v>1</v>
      </c>
      <c r="AD15" s="285">
        <f t="shared" ca="1" si="4"/>
        <v>4</v>
      </c>
      <c r="AE15" s="285"/>
      <c r="AF15" s="285">
        <f t="shared" ca="1" si="18"/>
        <v>1</v>
      </c>
      <c r="AG15" s="285"/>
      <c r="AH15" s="285"/>
      <c r="AI15" s="285">
        <f t="shared" ca="1" si="15"/>
        <v>4</v>
      </c>
      <c r="AJ15" s="285"/>
      <c r="AK15" s="285"/>
      <c r="AL15" s="286">
        <f t="shared" si="16"/>
        <v>3</v>
      </c>
      <c r="AM15" s="286"/>
    </row>
    <row r="16" spans="1:44" ht="30" customHeight="1" x14ac:dyDescent="0.25">
      <c r="B16" s="8" t="str">
        <f ca="1">'MMAT Ref'!AB14</f>
        <v>B.4</v>
      </c>
      <c r="C16" s="8" t="str">
        <f t="shared" ca="1" si="0"/>
        <v>Establish a management assurance framework</v>
      </c>
      <c r="D16" s="146" t="str">
        <f t="shared" ca="1" si="1"/>
        <v>Step 4 - Establish a management assurance framework</v>
      </c>
      <c r="E16" s="181"/>
      <c r="F16" s="26">
        <f t="shared" ca="1" si="17"/>
        <v>1</v>
      </c>
      <c r="G16" s="246">
        <f t="shared" ref="G16:G21" ca="1" si="19">IF(ISERROR(F16),"",F16)</f>
        <v>1</v>
      </c>
      <c r="H16" s="23">
        <f t="shared" ref="H16:H21" si="20">I16</f>
        <v>4</v>
      </c>
      <c r="I16" s="230">
        <f>Targets!F16</f>
        <v>4</v>
      </c>
      <c r="J16" s="247">
        <v>3</v>
      </c>
      <c r="AA16" s="275" t="str">
        <f>'MMAT Ref'!Q14</f>
        <v>B.6</v>
      </c>
      <c r="AB16" s="28" t="str">
        <f t="shared" ca="1" si="2"/>
        <v>B.6 - Use an effective testing methodology</v>
      </c>
      <c r="AC16" s="284">
        <f t="shared" ca="1" si="3"/>
        <v>1</v>
      </c>
      <c r="AD16" s="285">
        <f t="shared" ca="1" si="4"/>
        <v>4</v>
      </c>
      <c r="AE16" s="285"/>
      <c r="AF16" s="285">
        <f t="shared" ca="1" si="18"/>
        <v>1</v>
      </c>
      <c r="AG16" s="285"/>
      <c r="AH16" s="285"/>
      <c r="AI16" s="285">
        <f t="shared" ca="1" si="15"/>
        <v>4</v>
      </c>
      <c r="AJ16" s="285"/>
      <c r="AK16" s="285"/>
      <c r="AL16" s="286">
        <f t="shared" si="16"/>
        <v>3</v>
      </c>
      <c r="AM16" s="286"/>
    </row>
    <row r="17" spans="2:39" ht="30" customHeight="1" x14ac:dyDescent="0.25">
      <c r="B17" s="8" t="str">
        <f ca="1">'MMAT Ref'!AB15</f>
        <v>B.5</v>
      </c>
      <c r="C17" s="8" t="str">
        <f t="shared" ca="1" si="0"/>
        <v>Implement management control processes</v>
      </c>
      <c r="D17" s="146" t="str">
        <f t="shared" ca="1" si="1"/>
        <v>Step 5 - Implement management control processes</v>
      </c>
      <c r="E17" s="181"/>
      <c r="F17" s="26">
        <f t="shared" ca="1" si="17"/>
        <v>1</v>
      </c>
      <c r="G17" s="246">
        <f t="shared" ca="1" si="19"/>
        <v>1</v>
      </c>
      <c r="H17" s="23">
        <f t="shared" si="20"/>
        <v>4</v>
      </c>
      <c r="I17" s="230">
        <f>Targets!F17</f>
        <v>4</v>
      </c>
      <c r="J17" s="247">
        <v>3</v>
      </c>
      <c r="AA17" s="275" t="str">
        <f>'MMAT Ref'!Q15</f>
        <v>B.7</v>
      </c>
      <c r="AB17" s="28" t="str">
        <f t="shared" ca="1" si="2"/>
        <v>B.7 - Conduct sufficient research and planning</v>
      </c>
      <c r="AC17" s="284">
        <f t="shared" ca="1" si="3"/>
        <v>1</v>
      </c>
      <c r="AD17" s="285">
        <f t="shared" ca="1" si="4"/>
        <v>4</v>
      </c>
      <c r="AE17" s="285"/>
      <c r="AF17" s="285">
        <f t="shared" ca="1" si="18"/>
        <v>1</v>
      </c>
      <c r="AG17" s="285"/>
      <c r="AH17" s="285"/>
      <c r="AI17" s="285">
        <f t="shared" ca="1" si="15"/>
        <v>4</v>
      </c>
      <c r="AJ17" s="285"/>
      <c r="AK17" s="285"/>
      <c r="AL17" s="286">
        <f t="shared" si="16"/>
        <v>3</v>
      </c>
      <c r="AM17" s="286"/>
    </row>
    <row r="18" spans="2:39" ht="30" customHeight="1" x14ac:dyDescent="0.25">
      <c r="B18" s="8" t="str">
        <f ca="1">'MMAT Ref'!AB16</f>
        <v>B.6</v>
      </c>
      <c r="C18" s="8" t="str">
        <f t="shared" ca="1" si="0"/>
        <v>Use an effective testing methodology</v>
      </c>
      <c r="D18" s="146" t="str">
        <f t="shared" ca="1" si="1"/>
        <v>Step 6 - Use an effective testing methodology</v>
      </c>
      <c r="E18" s="181"/>
      <c r="F18" s="26">
        <f t="shared" ca="1" si="17"/>
        <v>1</v>
      </c>
      <c r="G18" s="246">
        <f t="shared" ca="1" si="19"/>
        <v>1</v>
      </c>
      <c r="H18" s="23">
        <f t="shared" si="20"/>
        <v>4</v>
      </c>
      <c r="I18" s="230">
        <f>Targets!F18</f>
        <v>4</v>
      </c>
      <c r="J18" s="247">
        <v>3</v>
      </c>
      <c r="AA18" s="275" t="str">
        <f>'MMAT Ref'!Q16</f>
        <v>B.8</v>
      </c>
      <c r="AB18" s="29" t="str">
        <f t="shared" ca="1" si="2"/>
        <v>B.8 - Identify and exploit vulnerabilities</v>
      </c>
      <c r="AC18" s="284">
        <f t="shared" ca="1" si="3"/>
        <v>1</v>
      </c>
      <c r="AD18" s="285">
        <f t="shared" ca="1" si="4"/>
        <v>4</v>
      </c>
      <c r="AE18" s="287"/>
      <c r="AF18" s="285">
        <f t="shared" ca="1" si="18"/>
        <v>1</v>
      </c>
      <c r="AG18" s="285"/>
      <c r="AH18" s="287"/>
      <c r="AI18" s="285">
        <f t="shared" ca="1" si="15"/>
        <v>4</v>
      </c>
      <c r="AJ18" s="285"/>
      <c r="AK18" s="287"/>
      <c r="AL18" s="286">
        <f t="shared" si="16"/>
        <v>3</v>
      </c>
      <c r="AM18" s="286"/>
    </row>
    <row r="19" spans="2:39" ht="30" customHeight="1" x14ac:dyDescent="0.25">
      <c r="B19" s="8" t="str">
        <f ca="1">'MMAT Ref'!AB17</f>
        <v>B.7</v>
      </c>
      <c r="C19" s="8" t="str">
        <f t="shared" ca="1" si="0"/>
        <v>Conduct sufficient research and planning</v>
      </c>
      <c r="D19" s="146" t="str">
        <f t="shared" ca="1" si="1"/>
        <v>Step 7 - Conduct sufficient research and planning</v>
      </c>
      <c r="E19" s="181"/>
      <c r="F19" s="26">
        <f t="shared" ca="1" si="17"/>
        <v>1</v>
      </c>
      <c r="G19" s="246">
        <f t="shared" ca="1" si="19"/>
        <v>1</v>
      </c>
      <c r="H19" s="23">
        <f t="shared" si="20"/>
        <v>4</v>
      </c>
      <c r="I19" s="230">
        <f>Targets!F19</f>
        <v>4</v>
      </c>
      <c r="J19" s="247">
        <v>3</v>
      </c>
      <c r="AA19" s="275" t="str">
        <f>'MMAT Ref'!Q17</f>
        <v>B.9</v>
      </c>
      <c r="AB19" s="29" t="str">
        <f t="shared" ca="1" si="2"/>
        <v>B.9 - Report key findings</v>
      </c>
      <c r="AC19" s="284">
        <f t="shared" ca="1" si="3"/>
        <v>1</v>
      </c>
      <c r="AD19" s="285">
        <f t="shared" ca="1" si="4"/>
        <v>4</v>
      </c>
      <c r="AE19" s="287"/>
      <c r="AF19" s="285">
        <f t="shared" ca="1" si="18"/>
        <v>1</v>
      </c>
      <c r="AG19" s="287"/>
      <c r="AH19" s="287"/>
      <c r="AI19" s="285">
        <f t="shared" ca="1" si="15"/>
        <v>4</v>
      </c>
      <c r="AJ19" s="287"/>
      <c r="AK19" s="287"/>
      <c r="AL19" s="286">
        <f t="shared" si="16"/>
        <v>3</v>
      </c>
      <c r="AM19" s="287"/>
    </row>
    <row r="20" spans="2:39" ht="30" customHeight="1" x14ac:dyDescent="0.25">
      <c r="B20" s="8" t="str">
        <f ca="1">'MMAT Ref'!AB18</f>
        <v>B.8</v>
      </c>
      <c r="C20" s="8" t="str">
        <f t="shared" ca="1" si="0"/>
        <v>Identify and exploit vulnerabilities</v>
      </c>
      <c r="D20" s="146" t="str">
        <f t="shared" ca="1" si="1"/>
        <v>Step 8 - Identify and exploit vulnerabilities</v>
      </c>
      <c r="E20" s="181"/>
      <c r="F20" s="26">
        <f t="shared" ca="1" si="17"/>
        <v>1</v>
      </c>
      <c r="G20" s="246">
        <f t="shared" ca="1" si="19"/>
        <v>1</v>
      </c>
      <c r="H20" s="23">
        <f t="shared" si="20"/>
        <v>4</v>
      </c>
      <c r="I20" s="230">
        <f>Targets!F20</f>
        <v>4</v>
      </c>
      <c r="J20" s="247">
        <v>3</v>
      </c>
      <c r="AA20" s="275" t="str">
        <f>'MMAT Ref'!Q18</f>
        <v>C.1</v>
      </c>
      <c r="AB20" s="29" t="str">
        <f t="shared" ca="1" si="2"/>
        <v>C.1 - Remediate weaknesses</v>
      </c>
      <c r="AC20" s="284">
        <f t="shared" ca="1" si="3"/>
        <v>1</v>
      </c>
      <c r="AD20" s="285">
        <f t="shared" ca="1" si="4"/>
        <v>4</v>
      </c>
      <c r="AE20" s="287"/>
      <c r="AF20" s="287"/>
      <c r="AG20" s="285">
        <f t="shared" ca="1" si="18"/>
        <v>1</v>
      </c>
      <c r="AH20" s="287"/>
      <c r="AI20" s="287"/>
      <c r="AJ20" s="285">
        <f t="shared" ca="1" si="15"/>
        <v>4</v>
      </c>
      <c r="AK20" s="287"/>
      <c r="AL20" s="287"/>
      <c r="AM20" s="286">
        <f>J23</f>
        <v>3</v>
      </c>
    </row>
    <row r="21" spans="2:39" ht="30" customHeight="1" x14ac:dyDescent="0.25">
      <c r="B21" s="8" t="str">
        <f ca="1">'MMAT Ref'!AB19</f>
        <v>B.9</v>
      </c>
      <c r="C21" s="8" t="str">
        <f t="shared" ca="1" si="0"/>
        <v>Report key findings</v>
      </c>
      <c r="D21" s="179" t="str">
        <f t="shared" ca="1" si="1"/>
        <v>Step 9 - Report key findings</v>
      </c>
      <c r="E21" s="196"/>
      <c r="F21" s="26">
        <f t="shared" ca="1" si="17"/>
        <v>1</v>
      </c>
      <c r="G21" s="246">
        <f t="shared" ca="1" si="19"/>
        <v>1</v>
      </c>
      <c r="H21" s="23">
        <f t="shared" si="20"/>
        <v>4</v>
      </c>
      <c r="I21" s="230">
        <f>Targets!F21</f>
        <v>4</v>
      </c>
      <c r="J21" s="247">
        <v>3</v>
      </c>
      <c r="AA21" s="275" t="str">
        <f>'MMAT Ref'!Q19</f>
        <v>C.2</v>
      </c>
      <c r="AB21" s="29" t="str">
        <f t="shared" ca="1" si="2"/>
        <v>C.2 - Address root causes of weaknesses</v>
      </c>
      <c r="AC21" s="284">
        <f t="shared" ca="1" si="3"/>
        <v>1</v>
      </c>
      <c r="AD21" s="285">
        <f t="shared" ca="1" si="4"/>
        <v>4</v>
      </c>
      <c r="AE21" s="287"/>
      <c r="AF21" s="287"/>
      <c r="AG21" s="285">
        <f t="shared" ca="1" si="18"/>
        <v>1</v>
      </c>
      <c r="AH21" s="287"/>
      <c r="AI21" s="287"/>
      <c r="AJ21" s="285">
        <f t="shared" ca="1" si="15"/>
        <v>4</v>
      </c>
      <c r="AK21" s="287"/>
      <c r="AL21" s="287"/>
      <c r="AM21" s="286">
        <f t="shared" ref="AM21:AM25" si="21">J24</f>
        <v>3</v>
      </c>
    </row>
    <row r="22" spans="2:39" ht="30" customHeight="1" x14ac:dyDescent="0.25">
      <c r="B22" s="94" t="str">
        <f ca="1">'MMAT Ref'!AB20</f>
        <v>C</v>
      </c>
      <c r="C22" s="94" t="str">
        <f t="shared" ca="1" si="0"/>
        <v>Follow up</v>
      </c>
      <c r="D22" s="125" t="str">
        <f t="shared" ca="1" si="1"/>
        <v>Stage C - Follow up</v>
      </c>
      <c r="E22" s="144"/>
      <c r="F22" s="324" t="str">
        <f ca="1">$AR$6</f>
        <v>Maturity level: Level 1</v>
      </c>
      <c r="G22" s="324"/>
      <c r="H22" s="324"/>
      <c r="I22" s="324"/>
      <c r="J22" s="174"/>
      <c r="AA22" s="275" t="str">
        <f>'MMAT Ref'!Q20</f>
        <v>C.3</v>
      </c>
      <c r="AB22" s="29" t="str">
        <f t="shared" ca="1" si="2"/>
        <v>C.3 - Initiate improvement programme</v>
      </c>
      <c r="AC22" s="284">
        <f t="shared" ca="1" si="3"/>
        <v>1</v>
      </c>
      <c r="AD22" s="285">
        <f t="shared" ca="1" si="4"/>
        <v>4</v>
      </c>
      <c r="AE22" s="287"/>
      <c r="AF22" s="287"/>
      <c r="AG22" s="285">
        <f t="shared" ca="1" si="18"/>
        <v>1</v>
      </c>
      <c r="AH22" s="287"/>
      <c r="AI22" s="287"/>
      <c r="AJ22" s="285">
        <f t="shared" ca="1" si="15"/>
        <v>4</v>
      </c>
      <c r="AK22" s="285"/>
      <c r="AL22" s="287"/>
      <c r="AM22" s="286">
        <f t="shared" si="21"/>
        <v>3</v>
      </c>
    </row>
    <row r="23" spans="2:39" ht="30" customHeight="1" x14ac:dyDescent="0.25">
      <c r="B23" s="8" t="str">
        <f ca="1">'MMAT Ref'!AB21</f>
        <v>C.1</v>
      </c>
      <c r="C23" s="8" t="str">
        <f t="shared" ca="1" si="0"/>
        <v>Remediate weaknesses</v>
      </c>
      <c r="D23" s="146" t="str">
        <f t="shared" ca="1" si="1"/>
        <v>Step 1 - Remediate weaknesses</v>
      </c>
      <c r="E23" s="181"/>
      <c r="F23" s="26">
        <f t="shared" ref="F23:F28" ca="1" si="22">VLOOKUP(B23,MaturityLevelsTable,3,FALSE)</f>
        <v>1</v>
      </c>
      <c r="G23" s="246">
        <f t="shared" ref="G23:G28" ca="1" si="23">IF(ISERROR(F23),"",F23)</f>
        <v>1</v>
      </c>
      <c r="H23" s="23">
        <f t="shared" ref="H23:H28" si="24">I23</f>
        <v>4</v>
      </c>
      <c r="I23" s="230">
        <f>Targets!F23</f>
        <v>4</v>
      </c>
      <c r="J23" s="247">
        <v>3</v>
      </c>
      <c r="AA23" s="275" t="str">
        <f>'MMAT Ref'!Q21</f>
        <v>C.4</v>
      </c>
      <c r="AB23" s="29" t="str">
        <f t="shared" ca="1" si="2"/>
        <v>C.4 - Evaluate penetration testing effectiveness</v>
      </c>
      <c r="AC23" s="284">
        <f t="shared" ca="1" si="3"/>
        <v>1</v>
      </c>
      <c r="AD23" s="285">
        <f t="shared" ca="1" si="4"/>
        <v>4</v>
      </c>
      <c r="AE23" s="287"/>
      <c r="AF23" s="287"/>
      <c r="AG23" s="285">
        <f t="shared" ca="1" si="18"/>
        <v>1</v>
      </c>
      <c r="AH23" s="287"/>
      <c r="AI23" s="287"/>
      <c r="AJ23" s="285">
        <f t="shared" ca="1" si="15"/>
        <v>4</v>
      </c>
      <c r="AK23" s="285"/>
      <c r="AL23" s="287"/>
      <c r="AM23" s="286">
        <f t="shared" si="21"/>
        <v>3</v>
      </c>
    </row>
    <row r="24" spans="2:39" ht="30" customHeight="1" x14ac:dyDescent="0.25">
      <c r="B24" s="8" t="str">
        <f ca="1">'MMAT Ref'!AB22</f>
        <v>C.2</v>
      </c>
      <c r="C24" s="8" t="str">
        <f t="shared" ca="1" si="0"/>
        <v>Address root causes of weaknesses</v>
      </c>
      <c r="D24" s="146" t="str">
        <f t="shared" ca="1" si="1"/>
        <v>Step 2 - Address root causes of weaknesses</v>
      </c>
      <c r="E24" s="181"/>
      <c r="F24" s="26">
        <f t="shared" ca="1" si="22"/>
        <v>1</v>
      </c>
      <c r="G24" s="246">
        <f t="shared" ca="1" si="23"/>
        <v>1</v>
      </c>
      <c r="H24" s="23">
        <f t="shared" si="24"/>
        <v>4</v>
      </c>
      <c r="I24" s="230">
        <f>Targets!F24</f>
        <v>4</v>
      </c>
      <c r="J24" s="247">
        <v>3</v>
      </c>
      <c r="AA24" s="275" t="str">
        <f>'MMAT Ref'!Q22</f>
        <v>C.5</v>
      </c>
      <c r="AB24" s="29" t="str">
        <f t="shared" ca="1" si="2"/>
        <v>C.5 - Build on lessons learned</v>
      </c>
      <c r="AC24" s="284">
        <f t="shared" ca="1" si="3"/>
        <v>1</v>
      </c>
      <c r="AD24" s="285">
        <f t="shared" ca="1" si="4"/>
        <v>4</v>
      </c>
      <c r="AE24" s="287"/>
      <c r="AF24" s="287"/>
      <c r="AG24" s="285">
        <f t="shared" ca="1" si="18"/>
        <v>1</v>
      </c>
      <c r="AH24" s="287"/>
      <c r="AI24" s="287"/>
      <c r="AJ24" s="285">
        <f t="shared" ca="1" si="15"/>
        <v>4</v>
      </c>
      <c r="AK24" s="285"/>
      <c r="AL24" s="287"/>
      <c r="AM24" s="286">
        <f t="shared" si="21"/>
        <v>3</v>
      </c>
    </row>
    <row r="25" spans="2:39" ht="30" customHeight="1" x14ac:dyDescent="0.25">
      <c r="B25" s="8" t="str">
        <f ca="1">'MMAT Ref'!AB23</f>
        <v>C.3</v>
      </c>
      <c r="C25" s="8" t="str">
        <f t="shared" ca="1" si="0"/>
        <v>Initiate improvement programme</v>
      </c>
      <c r="D25" s="146" t="str">
        <f t="shared" ca="1" si="1"/>
        <v>Step 3 - Initiate improvement programme</v>
      </c>
      <c r="E25" s="181"/>
      <c r="F25" s="26">
        <f t="shared" ca="1" si="22"/>
        <v>1</v>
      </c>
      <c r="G25" s="246">
        <f t="shared" ca="1" si="23"/>
        <v>1</v>
      </c>
      <c r="H25" s="23">
        <f t="shared" si="24"/>
        <v>4</v>
      </c>
      <c r="I25" s="230">
        <f>Targets!F25</f>
        <v>4</v>
      </c>
      <c r="J25" s="247">
        <v>3</v>
      </c>
      <c r="AA25" s="275" t="str">
        <f>'MMAT Ref'!Q23</f>
        <v>C.6</v>
      </c>
      <c r="AB25" s="29" t="str">
        <f t="shared" ca="1" si="2"/>
        <v>C.6 - Create and monitor action plans</v>
      </c>
      <c r="AC25" s="284">
        <f t="shared" ca="1" si="3"/>
        <v>1</v>
      </c>
      <c r="AD25" s="287">
        <f t="shared" ca="1" si="4"/>
        <v>4</v>
      </c>
      <c r="AE25" s="287"/>
      <c r="AF25" s="287"/>
      <c r="AG25" s="287">
        <f t="shared" ca="1" si="18"/>
        <v>1</v>
      </c>
      <c r="AH25" s="287"/>
      <c r="AI25" s="287"/>
      <c r="AJ25" s="287">
        <f t="shared" ref="AJ25" ca="1" si="25">IF(LEFT($AB25,1)=AJ$2,$AD25,"")</f>
        <v>4</v>
      </c>
      <c r="AK25" s="287"/>
      <c r="AL25" s="287"/>
      <c r="AM25" s="286">
        <f t="shared" si="21"/>
        <v>3</v>
      </c>
    </row>
    <row r="26" spans="2:39" ht="30" customHeight="1" x14ac:dyDescent="0.25">
      <c r="B26" s="8" t="str">
        <f ca="1">'MMAT Ref'!AB24</f>
        <v>C.4</v>
      </c>
      <c r="C26" s="8" t="str">
        <f t="shared" ca="1" si="0"/>
        <v>Evaluate penetration testing effectiveness</v>
      </c>
      <c r="D26" s="146" t="str">
        <f t="shared" ca="1" si="1"/>
        <v>Step 4 - Evaluate penetration testing effectiveness</v>
      </c>
      <c r="E26" s="181"/>
      <c r="F26" s="26">
        <f t="shared" ca="1" si="22"/>
        <v>1</v>
      </c>
      <c r="G26" s="246">
        <f t="shared" ca="1" si="23"/>
        <v>1</v>
      </c>
      <c r="H26" s="23">
        <f t="shared" si="24"/>
        <v>4</v>
      </c>
      <c r="I26" s="230">
        <f>Targets!F26</f>
        <v>4</v>
      </c>
      <c r="J26" s="247">
        <v>3</v>
      </c>
      <c r="AB26" s="29"/>
      <c r="AC26" s="284"/>
      <c r="AD26" s="287"/>
      <c r="AE26" s="287"/>
      <c r="AF26" s="287"/>
      <c r="AG26" s="287"/>
      <c r="AH26" s="287"/>
      <c r="AI26" s="287"/>
      <c r="AJ26" s="287"/>
      <c r="AK26" s="287"/>
      <c r="AL26" s="287"/>
      <c r="AM26" s="286"/>
    </row>
    <row r="27" spans="2:39" ht="30" customHeight="1" x14ac:dyDescent="0.25">
      <c r="B27" s="8" t="str">
        <f ca="1">'MMAT Ref'!AB25</f>
        <v>C.5</v>
      </c>
      <c r="C27" s="8" t="str">
        <f t="shared" ca="1" si="0"/>
        <v>Build on lessons learned</v>
      </c>
      <c r="D27" s="146" t="str">
        <f t="shared" ca="1" si="1"/>
        <v>Step 5 - Build on lessons learned</v>
      </c>
      <c r="E27" s="181"/>
      <c r="F27" s="26">
        <f t="shared" ca="1" si="22"/>
        <v>1</v>
      </c>
      <c r="G27" s="246">
        <f t="shared" ca="1" si="23"/>
        <v>1</v>
      </c>
      <c r="H27" s="23">
        <f t="shared" si="24"/>
        <v>4</v>
      </c>
      <c r="I27" s="230">
        <f>Targets!F27</f>
        <v>4</v>
      </c>
      <c r="J27" s="247">
        <v>3</v>
      </c>
      <c r="AB27" s="29"/>
      <c r="AC27" s="284"/>
      <c r="AD27" s="287"/>
      <c r="AE27" s="287"/>
      <c r="AF27" s="287"/>
      <c r="AG27" s="287"/>
      <c r="AH27" s="287"/>
      <c r="AI27" s="287"/>
      <c r="AJ27" s="287"/>
      <c r="AK27" s="287"/>
      <c r="AL27" s="287"/>
      <c r="AM27" s="286"/>
    </row>
    <row r="28" spans="2:39" ht="30" customHeight="1" x14ac:dyDescent="0.25">
      <c r="B28" s="8" t="str">
        <f ca="1">'MMAT Ref'!AB26</f>
        <v>C.6</v>
      </c>
      <c r="C28" s="8" t="str">
        <f t="shared" ca="1" si="0"/>
        <v>Create and monitor action plans</v>
      </c>
      <c r="D28" s="146" t="str">
        <f t="shared" ca="1" si="1"/>
        <v>Step 6 - Create and monitor action plans</v>
      </c>
      <c r="E28" s="245"/>
      <c r="F28" s="182">
        <f t="shared" ca="1" si="22"/>
        <v>1</v>
      </c>
      <c r="G28" s="248">
        <f t="shared" ca="1" si="23"/>
        <v>1</v>
      </c>
      <c r="H28" s="24">
        <f t="shared" si="24"/>
        <v>4</v>
      </c>
      <c r="I28" s="231">
        <f>Targets!F28</f>
        <v>4</v>
      </c>
      <c r="J28" s="249">
        <v>3</v>
      </c>
      <c r="AB28" s="29"/>
      <c r="AC28" s="284"/>
      <c r="AD28" s="287"/>
      <c r="AE28" s="287"/>
      <c r="AF28" s="287"/>
      <c r="AG28" s="287"/>
      <c r="AH28" s="287"/>
      <c r="AI28" s="287"/>
      <c r="AJ28" s="287"/>
      <c r="AK28" s="287"/>
      <c r="AL28" s="287"/>
      <c r="AM28" s="288"/>
    </row>
    <row r="29" spans="2:39" ht="30" customHeight="1" x14ac:dyDescent="0.25">
      <c r="B29"/>
      <c r="C29"/>
      <c r="D29"/>
      <c r="E29"/>
      <c r="F29"/>
      <c r="G29"/>
      <c r="H29"/>
      <c r="I29"/>
      <c r="J29"/>
      <c r="AB29"/>
      <c r="AC29"/>
      <c r="AD29"/>
      <c r="AE29"/>
      <c r="AF29"/>
      <c r="AG29"/>
      <c r="AH29"/>
      <c r="AI29"/>
      <c r="AJ29"/>
      <c r="AK29"/>
      <c r="AL29"/>
      <c r="AM29"/>
    </row>
    <row r="30" spans="2:39" ht="30" customHeight="1" x14ac:dyDescent="0.25">
      <c r="B30"/>
      <c r="C30"/>
      <c r="D30"/>
      <c r="E30"/>
      <c r="F30"/>
      <c r="G30"/>
      <c r="H30"/>
      <c r="I30"/>
      <c r="J30"/>
      <c r="AB30"/>
      <c r="AC30"/>
      <c r="AD30"/>
      <c r="AE30"/>
      <c r="AF30"/>
      <c r="AG30"/>
      <c r="AH30"/>
      <c r="AI30"/>
      <c r="AJ30"/>
      <c r="AK30"/>
      <c r="AL30"/>
      <c r="AM30"/>
    </row>
    <row r="31" spans="2:39" ht="30" customHeight="1" x14ac:dyDescent="0.25">
      <c r="B31"/>
      <c r="C31"/>
      <c r="D31"/>
      <c r="E31"/>
      <c r="F31"/>
      <c r="G31"/>
      <c r="H31"/>
      <c r="I31"/>
      <c r="J31"/>
      <c r="AB31"/>
      <c r="AC31"/>
      <c r="AD31"/>
      <c r="AE31"/>
      <c r="AF31"/>
      <c r="AG31"/>
      <c r="AH31"/>
      <c r="AI31"/>
      <c r="AJ31"/>
      <c r="AK31"/>
      <c r="AL31"/>
      <c r="AM31"/>
    </row>
    <row r="32" spans="2:39" ht="30" customHeight="1" x14ac:dyDescent="0.25">
      <c r="B32"/>
      <c r="C32"/>
      <c r="D32"/>
      <c r="E32"/>
      <c r="F32"/>
      <c r="G32"/>
      <c r="H32"/>
      <c r="I32"/>
      <c r="J32"/>
      <c r="AB32"/>
      <c r="AE32" s="321"/>
      <c r="AF32" s="321"/>
      <c r="AG32" s="321"/>
      <c r="AH32" s="321"/>
      <c r="AI32" s="321"/>
      <c r="AJ32" s="321"/>
      <c r="AK32" s="321"/>
      <c r="AL32" s="321"/>
      <c r="AM32" s="321"/>
    </row>
    <row r="33" spans="2:46" ht="30" customHeight="1" x14ac:dyDescent="0.25">
      <c r="B33"/>
      <c r="C33"/>
      <c r="D33"/>
      <c r="E33"/>
      <c r="F33"/>
      <c r="G33"/>
      <c r="H33"/>
      <c r="I33"/>
      <c r="J33"/>
      <c r="AB33"/>
      <c r="AC33" s="7"/>
      <c r="AD33" s="7"/>
      <c r="AE33" s="117"/>
      <c r="AF33" s="117"/>
      <c r="AG33" s="117"/>
      <c r="AH33" s="117"/>
      <c r="AI33" s="117"/>
      <c r="AJ33" s="117"/>
      <c r="AK33" s="117"/>
      <c r="AL33" s="117"/>
      <c r="AM33" s="117"/>
    </row>
    <row r="34" spans="2:46" ht="30" customHeight="1" x14ac:dyDescent="0.25">
      <c r="B34"/>
      <c r="C34"/>
      <c r="D34"/>
      <c r="E34"/>
      <c r="F34"/>
      <c r="G34"/>
      <c r="H34"/>
      <c r="I34"/>
      <c r="J34"/>
      <c r="AB34"/>
      <c r="AC34"/>
      <c r="AD34"/>
      <c r="AE34"/>
      <c r="AF34"/>
      <c r="AG34"/>
      <c r="AH34"/>
      <c r="AI34"/>
      <c r="AJ34"/>
      <c r="AK34"/>
      <c r="AL34"/>
      <c r="AM34"/>
      <c r="AN34"/>
      <c r="AO34"/>
      <c r="AP34"/>
      <c r="AQ34"/>
      <c r="AR34"/>
      <c r="AS34"/>
      <c r="AT34"/>
    </row>
    <row r="35" spans="2:46" ht="30" customHeight="1" x14ac:dyDescent="0.25">
      <c r="B35"/>
      <c r="C35"/>
      <c r="D35"/>
      <c r="E35"/>
      <c r="F35"/>
      <c r="G35"/>
      <c r="H35"/>
      <c r="I35"/>
      <c r="J35"/>
      <c r="AB35"/>
      <c r="AC35"/>
      <c r="AD35"/>
      <c r="AE35"/>
      <c r="AF35"/>
      <c r="AG35"/>
      <c r="AH35"/>
      <c r="AI35"/>
      <c r="AJ35"/>
      <c r="AK35"/>
      <c r="AL35"/>
      <c r="AM35"/>
      <c r="AN35"/>
      <c r="AO35"/>
      <c r="AP35"/>
      <c r="AQ35"/>
      <c r="AR35"/>
      <c r="AS35"/>
      <c r="AT35"/>
    </row>
    <row r="36" spans="2:46" ht="30" customHeight="1" x14ac:dyDescent="0.25">
      <c r="B36"/>
      <c r="C36"/>
      <c r="D36"/>
      <c r="E36"/>
      <c r="F36"/>
      <c r="G36"/>
      <c r="H36"/>
      <c r="I36"/>
      <c r="J36"/>
      <c r="AB36"/>
      <c r="AC36"/>
      <c r="AD36"/>
      <c r="AE36"/>
      <c r="AF36"/>
      <c r="AG36"/>
      <c r="AH36"/>
      <c r="AI36"/>
      <c r="AJ36"/>
      <c r="AK36"/>
      <c r="AL36"/>
      <c r="AM36"/>
      <c r="AN36"/>
      <c r="AO36"/>
      <c r="AP36"/>
      <c r="AQ36"/>
      <c r="AR36"/>
      <c r="AS36"/>
      <c r="AT36"/>
    </row>
    <row r="37" spans="2:46" x14ac:dyDescent="0.25">
      <c r="AB37"/>
      <c r="AC37"/>
      <c r="AD37"/>
      <c r="AE37"/>
      <c r="AF37"/>
      <c r="AG37"/>
      <c r="AH37"/>
      <c r="AI37"/>
      <c r="AJ37"/>
      <c r="AK37"/>
      <c r="AL37"/>
      <c r="AM37"/>
      <c r="AN37"/>
      <c r="AO37"/>
      <c r="AP37"/>
      <c r="AQ37"/>
      <c r="AR37"/>
      <c r="AS37"/>
      <c r="AT37"/>
    </row>
    <row r="38" spans="2:46" x14ac:dyDescent="0.25">
      <c r="AB38"/>
      <c r="AC38"/>
      <c r="AD38"/>
      <c r="AE38"/>
      <c r="AF38"/>
      <c r="AG38"/>
      <c r="AH38"/>
      <c r="AI38"/>
      <c r="AJ38"/>
      <c r="AK38"/>
      <c r="AL38"/>
      <c r="AM38"/>
      <c r="AN38"/>
      <c r="AO38"/>
      <c r="AP38"/>
      <c r="AQ38"/>
      <c r="AR38"/>
      <c r="AS38"/>
      <c r="AT38"/>
    </row>
    <row r="39" spans="2:46" x14ac:dyDescent="0.25">
      <c r="AB39"/>
      <c r="AC39"/>
      <c r="AD39"/>
      <c r="AE39"/>
      <c r="AF39"/>
      <c r="AG39"/>
      <c r="AH39"/>
      <c r="AI39"/>
      <c r="AJ39"/>
      <c r="AK39"/>
      <c r="AL39"/>
      <c r="AM39"/>
      <c r="AN39"/>
      <c r="AO39"/>
      <c r="AP39"/>
      <c r="AQ39"/>
      <c r="AR39"/>
      <c r="AS39"/>
      <c r="AT39"/>
    </row>
    <row r="40" spans="2:46" x14ac:dyDescent="0.25">
      <c r="AB40"/>
      <c r="AC40"/>
      <c r="AD40"/>
      <c r="AE40"/>
      <c r="AF40"/>
      <c r="AG40"/>
      <c r="AH40"/>
      <c r="AI40"/>
      <c r="AJ40"/>
      <c r="AK40"/>
      <c r="AL40"/>
      <c r="AM40"/>
      <c r="AN40"/>
      <c r="AO40"/>
      <c r="AP40"/>
      <c r="AQ40"/>
      <c r="AR40"/>
      <c r="AS40"/>
      <c r="AT40"/>
    </row>
    <row r="41" spans="2:46" x14ac:dyDescent="0.25">
      <c r="AB41"/>
      <c r="AC41"/>
      <c r="AD41"/>
      <c r="AE41"/>
      <c r="AF41"/>
      <c r="AG41"/>
      <c r="AH41"/>
      <c r="AI41"/>
      <c r="AJ41"/>
      <c r="AK41"/>
      <c r="AL41"/>
      <c r="AM41"/>
      <c r="AN41"/>
      <c r="AO41"/>
      <c r="AP41"/>
      <c r="AQ41"/>
      <c r="AR41"/>
      <c r="AS41"/>
      <c r="AT41"/>
    </row>
    <row r="42" spans="2:46" x14ac:dyDescent="0.25">
      <c r="AB42"/>
      <c r="AC42"/>
      <c r="AD42"/>
      <c r="AE42"/>
      <c r="AF42"/>
      <c r="AG42"/>
      <c r="AH42"/>
      <c r="AI42"/>
      <c r="AJ42"/>
      <c r="AK42"/>
      <c r="AL42"/>
      <c r="AM42"/>
      <c r="AN42"/>
      <c r="AO42"/>
      <c r="AP42"/>
      <c r="AQ42"/>
      <c r="AR42"/>
      <c r="AS42"/>
      <c r="AT42"/>
    </row>
    <row r="43" spans="2:46" x14ac:dyDescent="0.25">
      <c r="AB43"/>
      <c r="AC43"/>
      <c r="AD43"/>
      <c r="AE43"/>
      <c r="AF43"/>
      <c r="AG43"/>
      <c r="AH43"/>
      <c r="AI43"/>
      <c r="AJ43"/>
      <c r="AK43"/>
      <c r="AL43"/>
      <c r="AM43"/>
      <c r="AN43"/>
      <c r="AO43"/>
      <c r="AP43"/>
      <c r="AQ43"/>
      <c r="AR43"/>
      <c r="AS43"/>
      <c r="AT43"/>
    </row>
    <row r="44" spans="2:46" x14ac:dyDescent="0.25">
      <c r="AB44"/>
      <c r="AC44"/>
      <c r="AD44"/>
      <c r="AE44"/>
      <c r="AF44"/>
      <c r="AG44"/>
      <c r="AH44"/>
      <c r="AI44"/>
      <c r="AJ44"/>
      <c r="AK44"/>
      <c r="AL44"/>
      <c r="AM44"/>
      <c r="AN44"/>
      <c r="AO44"/>
      <c r="AP44"/>
      <c r="AQ44"/>
      <c r="AR44"/>
      <c r="AS44"/>
      <c r="AT44"/>
    </row>
    <row r="45" spans="2:46" x14ac:dyDescent="0.25">
      <c r="AB45"/>
      <c r="AC45"/>
      <c r="AD45"/>
      <c r="AE45"/>
      <c r="AF45"/>
      <c r="AG45"/>
      <c r="AH45"/>
      <c r="AI45"/>
      <c r="AJ45"/>
      <c r="AK45"/>
      <c r="AL45"/>
      <c r="AM45"/>
      <c r="AN45"/>
      <c r="AO45"/>
      <c r="AP45"/>
      <c r="AQ45"/>
      <c r="AR45"/>
      <c r="AS45"/>
      <c r="AT45"/>
    </row>
    <row r="46" spans="2:46" x14ac:dyDescent="0.25">
      <c r="AB46"/>
      <c r="AC46"/>
      <c r="AD46"/>
      <c r="AE46"/>
      <c r="AF46"/>
      <c r="AG46"/>
      <c r="AH46"/>
      <c r="AI46"/>
      <c r="AJ46"/>
      <c r="AK46"/>
      <c r="AL46"/>
      <c r="AM46"/>
      <c r="AN46"/>
      <c r="AO46"/>
      <c r="AP46"/>
      <c r="AQ46"/>
      <c r="AR46"/>
      <c r="AS46"/>
      <c r="AT46"/>
    </row>
    <row r="47" spans="2:46" x14ac:dyDescent="0.25">
      <c r="AB47"/>
      <c r="AC47"/>
      <c r="AD47"/>
      <c r="AE47"/>
      <c r="AF47"/>
      <c r="AG47"/>
      <c r="AH47"/>
      <c r="AI47"/>
      <c r="AJ47"/>
      <c r="AK47"/>
      <c r="AL47"/>
      <c r="AM47"/>
      <c r="AN47"/>
      <c r="AO47"/>
      <c r="AP47"/>
      <c r="AQ47"/>
      <c r="AR47"/>
      <c r="AS47"/>
      <c r="AT47"/>
    </row>
    <row r="48" spans="2:46" x14ac:dyDescent="0.25">
      <c r="AB48"/>
      <c r="AC48"/>
      <c r="AD48"/>
      <c r="AE48"/>
      <c r="AF48"/>
      <c r="AG48"/>
      <c r="AH48"/>
      <c r="AI48"/>
      <c r="AJ48"/>
      <c r="AK48"/>
      <c r="AL48"/>
      <c r="AM48"/>
      <c r="AN48"/>
      <c r="AO48"/>
      <c r="AP48"/>
      <c r="AQ48"/>
      <c r="AR48"/>
      <c r="AS48"/>
      <c r="AT48"/>
    </row>
    <row r="49" spans="28:46" x14ac:dyDescent="0.25">
      <c r="AB49"/>
      <c r="AC49"/>
      <c r="AD49"/>
      <c r="AE49"/>
      <c r="AF49"/>
      <c r="AG49"/>
      <c r="AH49"/>
      <c r="AI49"/>
      <c r="AJ49"/>
      <c r="AK49"/>
      <c r="AL49"/>
      <c r="AM49"/>
      <c r="AN49"/>
      <c r="AO49"/>
      <c r="AP49"/>
      <c r="AQ49"/>
      <c r="AR49"/>
      <c r="AS49"/>
      <c r="AT49"/>
    </row>
    <row r="50" spans="28:46" x14ac:dyDescent="0.25">
      <c r="AB50"/>
      <c r="AC50"/>
      <c r="AD50"/>
      <c r="AE50"/>
      <c r="AF50"/>
      <c r="AG50"/>
      <c r="AH50"/>
      <c r="AI50"/>
      <c r="AJ50"/>
      <c r="AK50"/>
      <c r="AL50"/>
      <c r="AM50"/>
      <c r="AN50"/>
      <c r="AO50"/>
      <c r="AP50"/>
      <c r="AQ50"/>
      <c r="AR50"/>
      <c r="AS50"/>
      <c r="AT50"/>
    </row>
    <row r="51" spans="28:46" x14ac:dyDescent="0.25">
      <c r="AB51"/>
      <c r="AC51"/>
      <c r="AD51"/>
      <c r="AE51"/>
      <c r="AF51"/>
      <c r="AG51"/>
      <c r="AH51"/>
      <c r="AI51"/>
      <c r="AJ51"/>
      <c r="AK51"/>
      <c r="AL51"/>
      <c r="AM51"/>
      <c r="AN51"/>
      <c r="AO51"/>
      <c r="AP51"/>
      <c r="AQ51"/>
      <c r="AR51"/>
      <c r="AS51"/>
      <c r="AT51"/>
    </row>
    <row r="52" spans="28:46" x14ac:dyDescent="0.25">
      <c r="AB52"/>
      <c r="AC52"/>
      <c r="AD52"/>
      <c r="AE52"/>
      <c r="AF52"/>
      <c r="AG52"/>
      <c r="AH52"/>
      <c r="AI52"/>
      <c r="AJ52"/>
      <c r="AK52"/>
      <c r="AL52"/>
      <c r="AM52"/>
      <c r="AN52"/>
      <c r="AO52"/>
      <c r="AP52"/>
      <c r="AQ52"/>
      <c r="AR52"/>
      <c r="AS52"/>
      <c r="AT52"/>
    </row>
    <row r="53" spans="28:46" x14ac:dyDescent="0.25">
      <c r="AB53"/>
      <c r="AC53"/>
      <c r="AD53"/>
      <c r="AE53"/>
      <c r="AF53"/>
      <c r="AG53"/>
      <c r="AH53"/>
      <c r="AI53"/>
      <c r="AJ53"/>
      <c r="AK53"/>
      <c r="AL53"/>
      <c r="AM53"/>
      <c r="AN53"/>
      <c r="AO53"/>
      <c r="AP53"/>
      <c r="AQ53"/>
      <c r="AR53"/>
      <c r="AS53"/>
      <c r="AT53"/>
    </row>
    <row r="54" spans="28:46" x14ac:dyDescent="0.25">
      <c r="AB54"/>
      <c r="AC54"/>
      <c r="AD54"/>
      <c r="AE54"/>
      <c r="AF54"/>
      <c r="AG54"/>
      <c r="AH54"/>
      <c r="AI54"/>
      <c r="AJ54"/>
      <c r="AK54"/>
      <c r="AL54"/>
      <c r="AM54"/>
      <c r="AN54"/>
      <c r="AO54"/>
      <c r="AP54"/>
      <c r="AQ54"/>
      <c r="AR54"/>
      <c r="AS54"/>
      <c r="AT54"/>
    </row>
    <row r="55" spans="28:46" x14ac:dyDescent="0.25">
      <c r="AB55"/>
      <c r="AC55"/>
      <c r="AD55"/>
      <c r="AE55"/>
      <c r="AF55"/>
      <c r="AG55"/>
      <c r="AH55"/>
      <c r="AI55"/>
      <c r="AJ55"/>
      <c r="AK55"/>
      <c r="AL55"/>
      <c r="AM55"/>
      <c r="AN55"/>
      <c r="AO55"/>
      <c r="AP55"/>
      <c r="AQ55"/>
      <c r="AR55"/>
      <c r="AS55"/>
      <c r="AT55"/>
    </row>
    <row r="56" spans="28:46" x14ac:dyDescent="0.25">
      <c r="AB56"/>
      <c r="AC56"/>
      <c r="AD56"/>
      <c r="AE56"/>
      <c r="AF56"/>
      <c r="AG56"/>
      <c r="AH56"/>
      <c r="AI56"/>
      <c r="AJ56"/>
      <c r="AK56"/>
      <c r="AL56"/>
      <c r="AM56"/>
      <c r="AN56"/>
      <c r="AO56"/>
      <c r="AP56"/>
      <c r="AQ56"/>
      <c r="AR56"/>
      <c r="AS56"/>
      <c r="AT56"/>
    </row>
    <row r="57" spans="28:46" x14ac:dyDescent="0.25">
      <c r="AB57"/>
      <c r="AC57"/>
      <c r="AD57"/>
      <c r="AE57"/>
      <c r="AF57"/>
      <c r="AG57"/>
      <c r="AH57"/>
      <c r="AI57"/>
      <c r="AJ57"/>
      <c r="AK57"/>
      <c r="AL57"/>
      <c r="AM57"/>
      <c r="AN57"/>
      <c r="AO57"/>
      <c r="AP57"/>
      <c r="AQ57"/>
      <c r="AR57"/>
      <c r="AS57"/>
      <c r="AT57"/>
    </row>
    <row r="58" spans="28:46" x14ac:dyDescent="0.25">
      <c r="AB58"/>
      <c r="AC58"/>
      <c r="AD58"/>
      <c r="AE58"/>
      <c r="AF58"/>
      <c r="AG58"/>
      <c r="AH58"/>
      <c r="AI58"/>
      <c r="AJ58"/>
      <c r="AK58"/>
      <c r="AL58"/>
      <c r="AM58"/>
      <c r="AN58"/>
      <c r="AO58"/>
      <c r="AP58"/>
      <c r="AQ58"/>
      <c r="AR58"/>
      <c r="AS58"/>
      <c r="AT58"/>
    </row>
    <row r="59" spans="28:46" x14ac:dyDescent="0.25">
      <c r="AB59"/>
      <c r="AC59"/>
      <c r="AD59"/>
      <c r="AE59"/>
      <c r="AF59"/>
      <c r="AG59"/>
      <c r="AH59"/>
      <c r="AI59"/>
      <c r="AJ59"/>
      <c r="AK59"/>
      <c r="AL59"/>
      <c r="AM59"/>
      <c r="AN59"/>
      <c r="AO59"/>
      <c r="AP59"/>
      <c r="AQ59"/>
      <c r="AR59"/>
      <c r="AS59"/>
      <c r="AT59"/>
    </row>
    <row r="60" spans="28:46" x14ac:dyDescent="0.25">
      <c r="AB60"/>
      <c r="AC60"/>
      <c r="AD60"/>
      <c r="AE60"/>
      <c r="AF60"/>
      <c r="AG60"/>
      <c r="AH60"/>
      <c r="AI60"/>
      <c r="AJ60"/>
      <c r="AK60"/>
      <c r="AL60"/>
      <c r="AM60"/>
      <c r="AN60"/>
      <c r="AO60"/>
      <c r="AP60"/>
      <c r="AQ60"/>
      <c r="AR60"/>
      <c r="AS60"/>
      <c r="AT60"/>
    </row>
    <row r="61" spans="28:46" x14ac:dyDescent="0.25">
      <c r="AB61"/>
      <c r="AC61"/>
      <c r="AD61"/>
      <c r="AE61"/>
      <c r="AF61"/>
      <c r="AG61"/>
      <c r="AH61"/>
      <c r="AI61"/>
      <c r="AJ61"/>
      <c r="AK61"/>
      <c r="AL61"/>
      <c r="AM61"/>
      <c r="AN61"/>
      <c r="AO61"/>
      <c r="AP61"/>
      <c r="AQ61"/>
      <c r="AR61"/>
      <c r="AS61"/>
      <c r="AT61"/>
    </row>
  </sheetData>
  <sheetProtection algorithmName="SHA-512" hashValue="kFqtiDwpM9Zb8BVty/2OwhjS1FbN2XrqyxPUF0O3y6Oq3iU12SiYNAQJKGWemJ5hDfImLq5cK7W1vZBUBx0PyQ==" saltValue="l0VAz7y+eNqZnupMpbsErw==" spinCount="100000" sheet="1" objects="1" scenarios="1"/>
  <mergeCells count="12">
    <mergeCell ref="AE32:AG32"/>
    <mergeCell ref="AH32:AJ32"/>
    <mergeCell ref="AK32:AM32"/>
    <mergeCell ref="F4:I4"/>
    <mergeCell ref="F22:I22"/>
    <mergeCell ref="F12:I12"/>
    <mergeCell ref="AE1:AG1"/>
    <mergeCell ref="AH1:AJ1"/>
    <mergeCell ref="AK1:AM1"/>
    <mergeCell ref="F2:G2"/>
    <mergeCell ref="H2:I2"/>
    <mergeCell ref="D1:I1"/>
  </mergeCells>
  <conditionalFormatting sqref="F5">
    <cfRule type="dataBar" priority="54">
      <dataBar>
        <cfvo type="num" val="0"/>
        <cfvo type="num" val="5"/>
        <color rgb="FF3156BD"/>
      </dataBar>
      <extLst>
        <ext xmlns:x14="http://schemas.microsoft.com/office/spreadsheetml/2009/9/main" uri="{B025F937-C7B1-47D3-B67F-A62EFF666E3E}">
          <x14:id>{DCAF092A-962D-4367-A0EE-9C6E84CCE8AE}</x14:id>
        </ext>
      </extLst>
    </cfRule>
  </conditionalFormatting>
  <conditionalFormatting sqref="H5">
    <cfRule type="dataBar" priority="52">
      <dataBar>
        <cfvo type="num" val="0"/>
        <cfvo type="num" val="5"/>
        <color rgb="FF00B050"/>
      </dataBar>
      <extLst>
        <ext xmlns:x14="http://schemas.microsoft.com/office/spreadsheetml/2009/9/main" uri="{B025F937-C7B1-47D3-B67F-A62EFF666E3E}">
          <x14:id>{2338CE7B-7641-4A34-B942-C8A15467EA48}</x14:id>
        </ext>
      </extLst>
    </cfRule>
  </conditionalFormatting>
  <conditionalFormatting sqref="H6:H8">
    <cfRule type="dataBar" priority="20">
      <dataBar>
        <cfvo type="num" val="0"/>
        <cfvo type="num" val="5"/>
        <color rgb="FF00B050"/>
      </dataBar>
      <extLst>
        <ext xmlns:x14="http://schemas.microsoft.com/office/spreadsheetml/2009/9/main" uri="{B025F937-C7B1-47D3-B67F-A62EFF666E3E}">
          <x14:id>{9E319336-5598-4F63-9436-31C2F9A8A8B9}</x14:id>
        </ext>
      </extLst>
    </cfRule>
  </conditionalFormatting>
  <conditionalFormatting sqref="H10:H11 H13:H14">
    <cfRule type="dataBar" priority="18">
      <dataBar>
        <cfvo type="num" val="0"/>
        <cfvo type="num" val="5"/>
        <color rgb="FF00B050"/>
      </dataBar>
      <extLst>
        <ext xmlns:x14="http://schemas.microsoft.com/office/spreadsheetml/2009/9/main" uri="{B025F937-C7B1-47D3-B67F-A62EFF666E3E}">
          <x14:id>{A6E39582-5E49-4477-A2A5-6BB84F754018}</x14:id>
        </ext>
      </extLst>
    </cfRule>
  </conditionalFormatting>
  <conditionalFormatting sqref="H16:H21">
    <cfRule type="dataBar" priority="16">
      <dataBar>
        <cfvo type="num" val="0"/>
        <cfvo type="num" val="5"/>
        <color rgb="FF00B050"/>
      </dataBar>
      <extLst>
        <ext xmlns:x14="http://schemas.microsoft.com/office/spreadsheetml/2009/9/main" uri="{B025F937-C7B1-47D3-B67F-A62EFF666E3E}">
          <x14:id>{1EE6F314-E181-4484-94FD-ED463B6BD787}</x14:id>
        </ext>
      </extLst>
    </cfRule>
  </conditionalFormatting>
  <conditionalFormatting sqref="H23:H28">
    <cfRule type="dataBar" priority="14">
      <dataBar>
        <cfvo type="num" val="0"/>
        <cfvo type="num" val="5"/>
        <color rgb="FF00B050"/>
      </dataBar>
      <extLst>
        <ext xmlns:x14="http://schemas.microsoft.com/office/spreadsheetml/2009/9/main" uri="{B025F937-C7B1-47D3-B67F-A62EFF666E3E}">
          <x14:id>{A2B2DD3E-F1CA-42F4-81A8-111E7C38E884}</x14:id>
        </ext>
      </extLst>
    </cfRule>
  </conditionalFormatting>
  <conditionalFormatting sqref="F6:F8">
    <cfRule type="dataBar" priority="9">
      <dataBar>
        <cfvo type="num" val="0"/>
        <cfvo type="num" val="5"/>
        <color rgb="FF3156BD"/>
      </dataBar>
      <extLst>
        <ext xmlns:x14="http://schemas.microsoft.com/office/spreadsheetml/2009/9/main" uri="{B025F937-C7B1-47D3-B67F-A62EFF666E3E}">
          <x14:id>{77C75A0F-6C4B-49F9-893E-A3A9782E4202}</x14:id>
        </ext>
      </extLst>
    </cfRule>
  </conditionalFormatting>
  <conditionalFormatting sqref="F10:F11 F13:F14">
    <cfRule type="dataBar" priority="8">
      <dataBar>
        <cfvo type="num" val="0"/>
        <cfvo type="num" val="5"/>
        <color rgb="FF3156BD"/>
      </dataBar>
      <extLst>
        <ext xmlns:x14="http://schemas.microsoft.com/office/spreadsheetml/2009/9/main" uri="{B025F937-C7B1-47D3-B67F-A62EFF666E3E}">
          <x14:id>{EC4A5AF6-C497-417B-A864-80F2436B9B51}</x14:id>
        </ext>
      </extLst>
    </cfRule>
  </conditionalFormatting>
  <conditionalFormatting sqref="F15">
    <cfRule type="dataBar" priority="1">
      <dataBar>
        <cfvo type="num" val="0"/>
        <cfvo type="num" val="5"/>
        <color rgb="FF3156BD"/>
      </dataBar>
      <extLst>
        <ext xmlns:x14="http://schemas.microsoft.com/office/spreadsheetml/2009/9/main" uri="{B025F937-C7B1-47D3-B67F-A62EFF666E3E}">
          <x14:id>{1DB42617-B7D2-415A-AC52-FAA0F1958EE3}</x14:id>
        </ext>
      </extLst>
    </cfRule>
  </conditionalFormatting>
  <conditionalFormatting sqref="F16:F21">
    <cfRule type="dataBar" priority="7">
      <dataBar>
        <cfvo type="num" val="0"/>
        <cfvo type="num" val="5"/>
        <color rgb="FF3156BD"/>
      </dataBar>
      <extLst>
        <ext xmlns:x14="http://schemas.microsoft.com/office/spreadsheetml/2009/9/main" uri="{B025F937-C7B1-47D3-B67F-A62EFF666E3E}">
          <x14:id>{03EFA48D-E315-4E94-B94C-5D39ED9F9518}</x14:id>
        </ext>
      </extLst>
    </cfRule>
  </conditionalFormatting>
  <conditionalFormatting sqref="F23:F28">
    <cfRule type="dataBar" priority="6">
      <dataBar>
        <cfvo type="num" val="0"/>
        <cfvo type="num" val="5"/>
        <color rgb="FF3156BD"/>
      </dataBar>
      <extLst>
        <ext xmlns:x14="http://schemas.microsoft.com/office/spreadsheetml/2009/9/main" uri="{B025F937-C7B1-47D3-B67F-A62EFF666E3E}">
          <x14:id>{716C5170-F01B-4A6A-B370-2798EF17A82B}</x14:id>
        </ext>
      </extLst>
    </cfRule>
  </conditionalFormatting>
  <conditionalFormatting sqref="H9">
    <cfRule type="dataBar" priority="4">
      <dataBar>
        <cfvo type="num" val="0"/>
        <cfvo type="num" val="5"/>
        <color rgb="FF00B050"/>
      </dataBar>
      <extLst>
        <ext xmlns:x14="http://schemas.microsoft.com/office/spreadsheetml/2009/9/main" uri="{B025F937-C7B1-47D3-B67F-A62EFF666E3E}">
          <x14:id>{3457411B-63E5-42F5-B6BC-AFA4A8A57C27}</x14:id>
        </ext>
      </extLst>
    </cfRule>
  </conditionalFormatting>
  <conditionalFormatting sqref="F9">
    <cfRule type="dataBar" priority="3">
      <dataBar>
        <cfvo type="num" val="0"/>
        <cfvo type="num" val="5"/>
        <color rgb="FF3156BD"/>
      </dataBar>
      <extLst>
        <ext xmlns:x14="http://schemas.microsoft.com/office/spreadsheetml/2009/9/main" uri="{B025F937-C7B1-47D3-B67F-A62EFF666E3E}">
          <x14:id>{6EAFF069-C019-4377-BBFB-7EC12476F371}</x14:id>
        </ext>
      </extLst>
    </cfRule>
  </conditionalFormatting>
  <conditionalFormatting sqref="H15">
    <cfRule type="dataBar" priority="2">
      <dataBar>
        <cfvo type="num" val="0"/>
        <cfvo type="num" val="5"/>
        <color rgb="FF00B050"/>
      </dataBar>
      <extLst>
        <ext xmlns:x14="http://schemas.microsoft.com/office/spreadsheetml/2009/9/main" uri="{B025F937-C7B1-47D3-B67F-A62EFF666E3E}">
          <x14:id>{79D95300-E371-4C15-BA0C-4BD35C7B621A}</x14:id>
        </ext>
      </extLst>
    </cfRule>
  </conditionalFormatting>
  <dataValidations disablePrompts="1" count="1">
    <dataValidation type="decimal" allowBlank="1" showInputMessage="1" showErrorMessage="1" errorTitle="Invalid entry" error="Benchmark rating must be a decimal number or integer less than or equal to 5" sqref="J23:J28 J5:J11 J13:J21" xr:uid="{00000000-0002-0000-0700-000000000000}">
      <formula1>0</formula1>
      <formula2>5</formula2>
    </dataValidation>
  </dataValidations>
  <pageMargins left="0.7" right="0.7" top="0.75" bottom="0.75" header="0.3" footer="0.3"/>
  <pageSetup paperSize="9" scale="58" fitToHeight="0"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dataBar" id="{DCAF092A-962D-4367-A0EE-9C6E84CCE8AE}">
            <x14:dataBar minLength="0" maxLength="100" gradient="0">
              <x14:cfvo type="num">
                <xm:f>0</xm:f>
              </x14:cfvo>
              <x14:cfvo type="num">
                <xm:f>5</xm:f>
              </x14:cfvo>
              <x14:negativeFillColor rgb="FFFF0000"/>
              <x14:axisColor rgb="FF000000"/>
            </x14:dataBar>
          </x14:cfRule>
          <xm:sqref>F5</xm:sqref>
        </x14:conditionalFormatting>
        <x14:conditionalFormatting xmlns:xm="http://schemas.microsoft.com/office/excel/2006/main">
          <x14:cfRule type="dataBar" id="{2338CE7B-7641-4A34-B942-C8A15467EA48}">
            <x14:dataBar minLength="0" maxLength="100" gradient="0">
              <x14:cfvo type="num">
                <xm:f>0</xm:f>
              </x14:cfvo>
              <x14:cfvo type="num">
                <xm:f>5</xm:f>
              </x14:cfvo>
              <x14:negativeFillColor rgb="FFFF0000"/>
              <x14:axisColor rgb="FF000000"/>
            </x14:dataBar>
          </x14:cfRule>
          <xm:sqref>H5</xm:sqref>
        </x14:conditionalFormatting>
        <x14:conditionalFormatting xmlns:xm="http://schemas.microsoft.com/office/excel/2006/main">
          <x14:cfRule type="dataBar" id="{9E319336-5598-4F63-9436-31C2F9A8A8B9}">
            <x14:dataBar minLength="0" maxLength="100" gradient="0">
              <x14:cfvo type="num">
                <xm:f>0</xm:f>
              </x14:cfvo>
              <x14:cfvo type="num">
                <xm:f>5</xm:f>
              </x14:cfvo>
              <x14:negativeFillColor rgb="FFFF0000"/>
              <x14:axisColor rgb="FF000000"/>
            </x14:dataBar>
          </x14:cfRule>
          <xm:sqref>H6:H8</xm:sqref>
        </x14:conditionalFormatting>
        <x14:conditionalFormatting xmlns:xm="http://schemas.microsoft.com/office/excel/2006/main">
          <x14:cfRule type="dataBar" id="{A6E39582-5E49-4477-A2A5-6BB84F754018}">
            <x14:dataBar minLength="0" maxLength="100" gradient="0">
              <x14:cfvo type="num">
                <xm:f>0</xm:f>
              </x14:cfvo>
              <x14:cfvo type="num">
                <xm:f>5</xm:f>
              </x14:cfvo>
              <x14:negativeFillColor rgb="FFFF0000"/>
              <x14:axisColor rgb="FF000000"/>
            </x14:dataBar>
          </x14:cfRule>
          <xm:sqref>H10:H11 H13:H14</xm:sqref>
        </x14:conditionalFormatting>
        <x14:conditionalFormatting xmlns:xm="http://schemas.microsoft.com/office/excel/2006/main">
          <x14:cfRule type="dataBar" id="{1EE6F314-E181-4484-94FD-ED463B6BD787}">
            <x14:dataBar minLength="0" maxLength="100" gradient="0">
              <x14:cfvo type="num">
                <xm:f>0</xm:f>
              </x14:cfvo>
              <x14:cfvo type="num">
                <xm:f>5</xm:f>
              </x14:cfvo>
              <x14:negativeFillColor rgb="FFFF0000"/>
              <x14:axisColor rgb="FF000000"/>
            </x14:dataBar>
          </x14:cfRule>
          <xm:sqref>H16:H21</xm:sqref>
        </x14:conditionalFormatting>
        <x14:conditionalFormatting xmlns:xm="http://schemas.microsoft.com/office/excel/2006/main">
          <x14:cfRule type="dataBar" id="{A2B2DD3E-F1CA-42F4-81A8-111E7C38E884}">
            <x14:dataBar minLength="0" maxLength="100" gradient="0">
              <x14:cfvo type="num">
                <xm:f>0</xm:f>
              </x14:cfvo>
              <x14:cfvo type="num">
                <xm:f>5</xm:f>
              </x14:cfvo>
              <x14:negativeFillColor rgb="FFFF0000"/>
              <x14:axisColor rgb="FF000000"/>
            </x14:dataBar>
          </x14:cfRule>
          <xm:sqref>H23:H28</xm:sqref>
        </x14:conditionalFormatting>
        <x14:conditionalFormatting xmlns:xm="http://schemas.microsoft.com/office/excel/2006/main">
          <x14:cfRule type="dataBar" id="{77C75A0F-6C4B-49F9-893E-A3A9782E4202}">
            <x14:dataBar minLength="0" maxLength="100" gradient="0">
              <x14:cfvo type="num">
                <xm:f>0</xm:f>
              </x14:cfvo>
              <x14:cfvo type="num">
                <xm:f>5</xm:f>
              </x14:cfvo>
              <x14:negativeFillColor rgb="FFFF0000"/>
              <x14:axisColor rgb="FF000000"/>
            </x14:dataBar>
          </x14:cfRule>
          <xm:sqref>F6:F8</xm:sqref>
        </x14:conditionalFormatting>
        <x14:conditionalFormatting xmlns:xm="http://schemas.microsoft.com/office/excel/2006/main">
          <x14:cfRule type="dataBar" id="{EC4A5AF6-C497-417B-A864-80F2436B9B51}">
            <x14:dataBar minLength="0" maxLength="100" gradient="0">
              <x14:cfvo type="num">
                <xm:f>0</xm:f>
              </x14:cfvo>
              <x14:cfvo type="num">
                <xm:f>5</xm:f>
              </x14:cfvo>
              <x14:negativeFillColor rgb="FFFF0000"/>
              <x14:axisColor rgb="FF000000"/>
            </x14:dataBar>
          </x14:cfRule>
          <xm:sqref>F10:F11 F13:F14</xm:sqref>
        </x14:conditionalFormatting>
        <x14:conditionalFormatting xmlns:xm="http://schemas.microsoft.com/office/excel/2006/main">
          <x14:cfRule type="dataBar" id="{1DB42617-B7D2-415A-AC52-FAA0F1958EE3}">
            <x14:dataBar minLength="0" maxLength="100" gradient="0">
              <x14:cfvo type="num">
                <xm:f>0</xm:f>
              </x14:cfvo>
              <x14:cfvo type="num">
                <xm:f>5</xm:f>
              </x14:cfvo>
              <x14:negativeFillColor rgb="FFFF0000"/>
              <x14:axisColor rgb="FF000000"/>
            </x14:dataBar>
          </x14:cfRule>
          <xm:sqref>F15</xm:sqref>
        </x14:conditionalFormatting>
        <x14:conditionalFormatting xmlns:xm="http://schemas.microsoft.com/office/excel/2006/main">
          <x14:cfRule type="dataBar" id="{03EFA48D-E315-4E94-B94C-5D39ED9F9518}">
            <x14:dataBar minLength="0" maxLength="100" gradient="0">
              <x14:cfvo type="num">
                <xm:f>0</xm:f>
              </x14:cfvo>
              <x14:cfvo type="num">
                <xm:f>5</xm:f>
              </x14:cfvo>
              <x14:negativeFillColor rgb="FFFF0000"/>
              <x14:axisColor rgb="FF000000"/>
            </x14:dataBar>
          </x14:cfRule>
          <xm:sqref>F16:F21</xm:sqref>
        </x14:conditionalFormatting>
        <x14:conditionalFormatting xmlns:xm="http://schemas.microsoft.com/office/excel/2006/main">
          <x14:cfRule type="dataBar" id="{716C5170-F01B-4A6A-B370-2798EF17A82B}">
            <x14:dataBar minLength="0" maxLength="100" gradient="0">
              <x14:cfvo type="num">
                <xm:f>0</xm:f>
              </x14:cfvo>
              <x14:cfvo type="num">
                <xm:f>5</xm:f>
              </x14:cfvo>
              <x14:negativeFillColor rgb="FFFF0000"/>
              <x14:axisColor rgb="FF000000"/>
            </x14:dataBar>
          </x14:cfRule>
          <xm:sqref>F23:F28</xm:sqref>
        </x14:conditionalFormatting>
        <x14:conditionalFormatting xmlns:xm="http://schemas.microsoft.com/office/excel/2006/main">
          <x14:cfRule type="dataBar" id="{3457411B-63E5-42F5-B6BC-AFA4A8A57C27}">
            <x14:dataBar minLength="0" maxLength="100" gradient="0">
              <x14:cfvo type="num">
                <xm:f>0</xm:f>
              </x14:cfvo>
              <x14:cfvo type="num">
                <xm:f>5</xm:f>
              </x14:cfvo>
              <x14:negativeFillColor rgb="FFFF0000"/>
              <x14:axisColor rgb="FF000000"/>
            </x14:dataBar>
          </x14:cfRule>
          <xm:sqref>H9</xm:sqref>
        </x14:conditionalFormatting>
        <x14:conditionalFormatting xmlns:xm="http://schemas.microsoft.com/office/excel/2006/main">
          <x14:cfRule type="dataBar" id="{6EAFF069-C019-4377-BBFB-7EC12476F371}">
            <x14:dataBar minLength="0" maxLength="100" gradient="0">
              <x14:cfvo type="num">
                <xm:f>0</xm:f>
              </x14:cfvo>
              <x14:cfvo type="num">
                <xm:f>5</xm:f>
              </x14:cfvo>
              <x14:negativeFillColor rgb="FFFF0000"/>
              <x14:axisColor rgb="FF000000"/>
            </x14:dataBar>
          </x14:cfRule>
          <xm:sqref>F9</xm:sqref>
        </x14:conditionalFormatting>
        <x14:conditionalFormatting xmlns:xm="http://schemas.microsoft.com/office/excel/2006/main">
          <x14:cfRule type="dataBar" id="{79D95300-E371-4C15-BA0C-4BD35C7B621A}">
            <x14:dataBar minLength="0" maxLength="100" gradient="0">
              <x14:cfvo type="num">
                <xm:f>0</xm:f>
              </x14:cfvo>
              <x14:cfvo type="num">
                <xm:f>5</xm:f>
              </x14:cfvo>
              <x14:negativeFillColor rgb="FFFF0000"/>
              <x14:axisColor rgb="FF000000"/>
            </x14:dataBar>
          </x14:cfRule>
          <xm:sqref>H15</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tabColor rgb="FFFF0000"/>
    <pageSetUpPr autoPageBreaks="0" fitToPage="1"/>
  </sheetPr>
  <dimension ref="A2:AI76"/>
  <sheetViews>
    <sheetView showGridLines="0" showRowColHeaders="0" topLeftCell="D1" zoomScaleNormal="100" workbookViewId="0">
      <pane ySplit="7" topLeftCell="A8" activePane="bottomLeft" state="frozen"/>
      <selection pane="bottomLeft" activeCell="D2" sqref="D2"/>
    </sheetView>
  </sheetViews>
  <sheetFormatPr defaultColWidth="9.140625" defaultRowHeight="15" x14ac:dyDescent="0.25"/>
  <cols>
    <col min="1" max="1" width="9.28515625" style="21" hidden="1" customWidth="1"/>
    <col min="2" max="3" width="8.85546875" style="21" hidden="1" customWidth="1"/>
    <col min="4" max="4" width="6.28515625" style="152" customWidth="1"/>
    <col min="5" max="5" width="15.5703125" style="21" customWidth="1"/>
    <col min="6" max="6" width="67.42578125" style="21" customWidth="1"/>
    <col min="7" max="7" width="29.7109375" style="152" customWidth="1"/>
    <col min="8" max="8" width="7.7109375" style="152" hidden="1" customWidth="1"/>
    <col min="9" max="9" width="9.7109375" style="152" hidden="1" customWidth="1"/>
    <col min="10" max="13" width="7.7109375" style="152" hidden="1" customWidth="1"/>
    <col min="14" max="15" width="13.140625" style="21" customWidth="1"/>
    <col min="16" max="16" width="28.42578125" style="21" customWidth="1"/>
    <col min="17" max="17" width="41.7109375" style="21" customWidth="1"/>
    <col min="18" max="33" width="9.140625" style="21" customWidth="1"/>
    <col min="34" max="34" width="9.140625" style="82" hidden="1" customWidth="1"/>
    <col min="35" max="35" width="9.140625" customWidth="1"/>
    <col min="36" max="39" width="9.140625" style="21" customWidth="1"/>
    <col min="40" max="16384" width="9.140625" style="21"/>
  </cols>
  <sheetData>
    <row r="2" spans="1:35" s="53" customFormat="1" ht="15" customHeight="1" x14ac:dyDescent="0.25">
      <c r="A2" s="50"/>
      <c r="B2" s="21"/>
      <c r="C2" s="21"/>
      <c r="D2" s="152"/>
      <c r="E2" s="21"/>
      <c r="F2" s="325" t="str">
        <f ca="1">"Maturity model for Stage "&amp;LEFT(B8,1)&amp;" - "&amp;VLOOKUP(A8-1,Contents_Text,7,FALSE)</f>
        <v>Maturity model for Stage A - Preparation</v>
      </c>
      <c r="G2" s="153"/>
      <c r="H2" s="153"/>
      <c r="I2" s="153"/>
      <c r="J2" s="153"/>
      <c r="K2" s="153"/>
      <c r="L2" s="153"/>
      <c r="M2" s="153"/>
      <c r="N2" s="143"/>
      <c r="O2" s="143"/>
      <c r="P2" s="143"/>
      <c r="Q2" s="143"/>
      <c r="R2" s="143"/>
      <c r="S2" s="143"/>
      <c r="T2" s="143"/>
      <c r="U2" s="143"/>
      <c r="V2" s="143"/>
      <c r="W2" s="143"/>
      <c r="X2" s="143"/>
      <c r="Y2" s="143"/>
      <c r="Z2" s="143"/>
      <c r="AA2" s="143"/>
      <c r="AB2" s="143"/>
      <c r="AC2" s="170"/>
      <c r="AD2" s="170"/>
      <c r="AE2" s="170"/>
      <c r="AF2" s="170"/>
      <c r="AG2" s="170"/>
      <c r="AH2" s="82"/>
      <c r="AI2"/>
    </row>
    <row r="3" spans="1:35" s="53" customFormat="1" ht="15" customHeight="1" x14ac:dyDescent="0.25">
      <c r="A3" s="21"/>
      <c r="B3" s="21"/>
      <c r="C3" s="21"/>
      <c r="D3" s="152"/>
      <c r="E3" s="21"/>
      <c r="F3" s="325"/>
      <c r="G3" s="153"/>
      <c r="H3" s="153"/>
      <c r="I3" s="153"/>
      <c r="J3" s="153"/>
      <c r="K3" s="153"/>
      <c r="L3" s="153"/>
      <c r="M3" s="153"/>
      <c r="N3" s="143"/>
      <c r="O3" s="143"/>
      <c r="P3" s="143"/>
      <c r="Q3" s="143"/>
      <c r="R3" s="143"/>
      <c r="S3" s="143"/>
      <c r="T3" s="143"/>
      <c r="U3" s="143"/>
      <c r="V3" s="143"/>
      <c r="W3" s="143"/>
      <c r="X3" s="143"/>
      <c r="Y3" s="143"/>
      <c r="Z3" s="143"/>
      <c r="AA3" s="143"/>
      <c r="AB3" s="143"/>
      <c r="AC3" s="170"/>
      <c r="AD3" s="170"/>
      <c r="AE3" s="170"/>
      <c r="AF3" s="170"/>
      <c r="AG3" s="170"/>
      <c r="AH3" s="82"/>
      <c r="AI3"/>
    </row>
    <row r="4" spans="1:35" s="53" customFormat="1" ht="15" customHeight="1" x14ac:dyDescent="0.25">
      <c r="A4" s="21"/>
      <c r="B4" s="21"/>
      <c r="C4" s="21"/>
      <c r="D4" s="152"/>
      <c r="E4" s="21"/>
      <c r="F4" s="325"/>
      <c r="G4" s="153"/>
      <c r="H4" s="153"/>
      <c r="I4" s="153"/>
      <c r="J4" s="153"/>
      <c r="K4" s="153"/>
      <c r="L4" s="153"/>
      <c r="M4" s="153"/>
      <c r="N4" s="143"/>
      <c r="O4" s="143"/>
      <c r="P4" s="143"/>
      <c r="Q4" s="143"/>
      <c r="R4" s="143"/>
      <c r="S4" s="143"/>
      <c r="T4" s="143"/>
      <c r="U4" s="143"/>
      <c r="V4" s="143"/>
      <c r="W4" s="143"/>
      <c r="X4" s="143"/>
      <c r="Y4" s="143"/>
      <c r="Z4" s="143"/>
      <c r="AA4" s="143"/>
      <c r="AB4" s="143"/>
      <c r="AC4" s="170"/>
      <c r="AD4" s="170"/>
      <c r="AE4" s="170"/>
      <c r="AF4" s="170"/>
      <c r="AG4" s="170"/>
      <c r="AH4" s="82"/>
      <c r="AI4"/>
    </row>
    <row r="5" spans="1:35" s="53" customFormat="1" ht="15" customHeight="1" x14ac:dyDescent="0.25">
      <c r="A5" s="21"/>
      <c r="B5" s="21"/>
      <c r="C5" s="21"/>
      <c r="D5" s="152"/>
      <c r="E5" s="21"/>
      <c r="F5" s="325"/>
      <c r="G5" s="153"/>
      <c r="H5" s="153"/>
      <c r="I5" s="153"/>
      <c r="J5" s="153"/>
      <c r="K5" s="153"/>
      <c r="L5" s="153"/>
      <c r="M5" s="153"/>
      <c r="N5" s="143"/>
      <c r="O5" s="143"/>
      <c r="P5" s="143"/>
      <c r="Q5" s="143"/>
      <c r="R5" s="143"/>
      <c r="S5" s="143"/>
      <c r="T5" s="143"/>
      <c r="U5" s="143"/>
      <c r="V5" s="143"/>
      <c r="W5" s="143"/>
      <c r="X5" s="143"/>
      <c r="Y5" s="143"/>
      <c r="Z5" s="143"/>
      <c r="AA5" s="143"/>
      <c r="AB5" s="143"/>
      <c r="AC5" s="170"/>
      <c r="AD5" s="170"/>
      <c r="AE5" s="170"/>
      <c r="AF5" s="170"/>
      <c r="AG5" s="170"/>
      <c r="AH5" s="82"/>
      <c r="AI5"/>
    </row>
    <row r="6" spans="1:35" ht="11.25" customHeight="1" x14ac:dyDescent="0.25"/>
    <row r="7" spans="1:35" ht="36" customHeight="1" thickBot="1" x14ac:dyDescent="0.35">
      <c r="F7" s="54"/>
      <c r="G7" s="198" t="s">
        <v>51</v>
      </c>
      <c r="H7" s="198"/>
      <c r="I7" s="198"/>
      <c r="J7" s="198"/>
      <c r="K7" s="198"/>
      <c r="L7" s="198"/>
      <c r="M7" s="198"/>
      <c r="N7" s="55" t="s">
        <v>8</v>
      </c>
      <c r="O7" s="56" t="s">
        <v>52</v>
      </c>
      <c r="P7" s="57" t="s">
        <v>53</v>
      </c>
      <c r="Q7" s="57" t="s">
        <v>0</v>
      </c>
      <c r="AH7" s="223" t="s">
        <v>214</v>
      </c>
    </row>
    <row r="8" spans="1:35" s="76" customFormat="1" ht="30" customHeight="1" x14ac:dyDescent="0.25">
      <c r="A8" s="73">
        <v>2</v>
      </c>
      <c r="B8" s="74" t="str">
        <f t="shared" ref="B8:B39" ca="1" si="0">VLOOKUP(A8,Contents_Text,2,FALSE)</f>
        <v>A.1</v>
      </c>
      <c r="C8" s="20">
        <f t="shared" ref="C8:C39" ca="1" si="1">VLOOKUP(A8,Contents_Text,15,FALSE)</f>
        <v>2</v>
      </c>
      <c r="D8" s="20"/>
      <c r="E8" s="159" t="str">
        <f t="shared" ref="E8:E39" ca="1" si="2">IF(C8=1,"Phase "&amp;B8,IF(C8=2,"Step "&amp;VLOOKUP(A8,Contents_Text,4,FALSE),B8))</f>
        <v>Step 1</v>
      </c>
      <c r="F8" s="160" t="str">
        <f t="shared" ref="F8:F39" ca="1" si="3">VLOOKUP(A8,Contents_Text,7,FALSE)</f>
        <v>Maintain a technical security assurance framework</v>
      </c>
      <c r="G8" s="160"/>
      <c r="H8" s="160"/>
      <c r="I8" s="160"/>
      <c r="J8" s="160"/>
      <c r="K8" s="160"/>
      <c r="L8" s="160"/>
      <c r="M8" s="160"/>
      <c r="N8" s="160" t="str">
        <f t="shared" ref="N8:N39" ca="1" si="4">IFERROR(IF(VLOOKUP(A8,Weightings_Assessments,25,FALSE)=0,"",VLOOKUP(A8,Weightings_Assessments,25,FALSE)),"")</f>
        <v/>
      </c>
      <c r="O8" s="160" t="str">
        <f t="shared" ref="O8:O39" ca="1" si="5">IFERROR(VLOOKUP(AH8,detail_maturity_score,3,FALSE)*VLOOKUP(A8,Weightings_Assessments,23,FALSE),"")</f>
        <v/>
      </c>
      <c r="P8" s="160"/>
      <c r="Q8" s="160"/>
      <c r="R8" s="160"/>
      <c r="S8" s="160"/>
      <c r="T8" s="160"/>
      <c r="U8" s="160"/>
      <c r="V8" s="160"/>
      <c r="W8" s="160"/>
      <c r="X8" s="160"/>
      <c r="Y8" s="160"/>
      <c r="Z8" s="160"/>
      <c r="AA8" s="160"/>
      <c r="AB8" s="160"/>
      <c r="AC8" s="160"/>
      <c r="AD8" s="160"/>
      <c r="AE8" s="160"/>
      <c r="AF8" s="160"/>
      <c r="AG8" s="160"/>
      <c r="AH8" s="79"/>
      <c r="AI8"/>
    </row>
    <row r="9" spans="1:35" s="76" customFormat="1" ht="30" customHeight="1" x14ac:dyDescent="0.25">
      <c r="A9" s="222">
        <v>3</v>
      </c>
      <c r="B9" s="74" t="str">
        <f t="shared" ca="1" si="0"/>
        <v>A.1.01</v>
      </c>
      <c r="C9" s="20">
        <f t="shared" ca="1" si="1"/>
        <v>5</v>
      </c>
      <c r="D9" s="20"/>
      <c r="E9" s="135" t="str">
        <f t="shared" ca="1" si="2"/>
        <v>A.1.01</v>
      </c>
      <c r="F9" s="157" t="str">
        <f t="shared" ca="1" si="3"/>
        <v>Have you identified and recorded all main internal systems that support your organisation?</v>
      </c>
      <c r="G9" s="134"/>
      <c r="H9" s="156"/>
      <c r="I9" s="158"/>
      <c r="J9" s="156"/>
      <c r="K9" s="156"/>
      <c r="L9" s="156"/>
      <c r="M9" s="156"/>
      <c r="N9" s="137" t="str">
        <f t="shared" ca="1" si="4"/>
        <v>x 2</v>
      </c>
      <c r="O9" s="137" t="str">
        <f t="shared" ca="1" si="5"/>
        <v/>
      </c>
      <c r="P9" s="138"/>
      <c r="Q9" s="138"/>
      <c r="R9" s="134"/>
      <c r="S9" s="134"/>
      <c r="T9" s="134"/>
      <c r="U9" s="134"/>
      <c r="V9" s="134"/>
      <c r="W9" s="134"/>
      <c r="X9" s="134"/>
      <c r="Y9" s="134"/>
      <c r="Z9" s="139"/>
      <c r="AA9" s="134"/>
      <c r="AB9" s="134"/>
      <c r="AC9" s="134"/>
      <c r="AD9" s="134"/>
      <c r="AE9" s="134"/>
      <c r="AF9" s="134"/>
      <c r="AG9" s="134"/>
      <c r="AH9" s="79">
        <v>1</v>
      </c>
      <c r="AI9" s="13"/>
    </row>
    <row r="10" spans="1:35" s="76" customFormat="1" ht="75" x14ac:dyDescent="0.25">
      <c r="A10" s="222">
        <v>4</v>
      </c>
      <c r="B10" s="74" t="str">
        <f t="shared" ca="1" si="0"/>
        <v/>
      </c>
      <c r="C10" s="20">
        <f t="shared" ca="1" si="1"/>
        <v>3</v>
      </c>
      <c r="D10" s="20"/>
      <c r="E10" s="135" t="str">
        <f t="shared" ca="1" si="2"/>
        <v/>
      </c>
      <c r="F10" s="155" t="str">
        <f t="shared" ca="1" si="3"/>
        <v>Documentation about these systems would typically include: their level of criticality to the business; the sensitivity of any information they handle; any key dependencies; network diagrams, data flow and trust boundaries; details about important third party suppliers; IT infrastructure; and points of contact, roles and responsibilities.</v>
      </c>
      <c r="G10" s="155"/>
      <c r="H10" s="155"/>
      <c r="I10" s="155"/>
      <c r="J10" s="155"/>
      <c r="K10" s="155"/>
      <c r="L10" s="155"/>
      <c r="M10" s="155"/>
      <c r="N10" s="137" t="str">
        <f t="shared" ca="1" si="4"/>
        <v/>
      </c>
      <c r="O10" s="134" t="str">
        <f t="shared" ca="1" si="5"/>
        <v/>
      </c>
      <c r="P10" s="138"/>
      <c r="Q10" s="138"/>
      <c r="R10" s="134"/>
      <c r="S10" s="134"/>
      <c r="T10" s="134"/>
      <c r="U10" s="134"/>
      <c r="V10" s="134"/>
      <c r="W10" s="134"/>
      <c r="X10" s="134"/>
      <c r="Y10" s="134"/>
      <c r="Z10" s="139"/>
      <c r="AA10" s="134"/>
      <c r="AB10" s="134"/>
      <c r="AC10" s="134"/>
      <c r="AD10" s="134"/>
      <c r="AE10" s="134"/>
      <c r="AF10" s="134"/>
      <c r="AG10" s="134"/>
      <c r="AH10" s="220"/>
      <c r="AI10" s="13"/>
    </row>
    <row r="11" spans="1:35" s="76" customFormat="1" ht="30" customHeight="1" x14ac:dyDescent="0.25">
      <c r="A11" s="222">
        <v>5</v>
      </c>
      <c r="B11" s="74" t="str">
        <f t="shared" ca="1" si="0"/>
        <v>A.1.02</v>
      </c>
      <c r="C11" s="20">
        <f t="shared" ca="1" si="1"/>
        <v>5</v>
      </c>
      <c r="D11" s="20"/>
      <c r="E11" s="135" t="str">
        <f t="shared" ca="1" si="2"/>
        <v>A.1.02</v>
      </c>
      <c r="F11" s="157" t="str">
        <f t="shared" ca="1" si="3"/>
        <v>Do you apply different levels of security assurance for different systems based on their criticality or the sensitivity of the information they handle?</v>
      </c>
      <c r="G11" s="134"/>
      <c r="H11" s="156"/>
      <c r="I11" s="158"/>
      <c r="J11" s="156"/>
      <c r="K11" s="156"/>
      <c r="L11" s="156"/>
      <c r="M11" s="156"/>
      <c r="N11" s="137" t="str">
        <f t="shared" ca="1" si="4"/>
        <v>x 4</v>
      </c>
      <c r="O11" s="137" t="str">
        <f t="shared" ca="1" si="5"/>
        <v/>
      </c>
      <c r="P11" s="138"/>
      <c r="Q11" s="138"/>
      <c r="R11" s="134"/>
      <c r="S11" s="134"/>
      <c r="T11" s="134"/>
      <c r="U11" s="134"/>
      <c r="V11" s="134"/>
      <c r="W11" s="134"/>
      <c r="X11" s="134"/>
      <c r="Y11" s="134"/>
      <c r="Z11" s="139"/>
      <c r="AA11" s="134"/>
      <c r="AB11" s="134"/>
      <c r="AC11" s="134"/>
      <c r="AD11" s="134"/>
      <c r="AE11" s="134"/>
      <c r="AF11" s="134"/>
      <c r="AG11" s="134"/>
      <c r="AH11" s="79">
        <v>1</v>
      </c>
      <c r="AI11" s="13"/>
    </row>
    <row r="12" spans="1:35" s="76" customFormat="1" ht="30" customHeight="1" x14ac:dyDescent="0.25">
      <c r="A12" s="222">
        <v>6</v>
      </c>
      <c r="B12" s="74" t="str">
        <f t="shared" ca="1" si="0"/>
        <v>A.1.03</v>
      </c>
      <c r="C12" s="20">
        <f t="shared" ca="1" si="1"/>
        <v>5</v>
      </c>
      <c r="D12" s="20"/>
      <c r="E12" s="135" t="str">
        <f t="shared" ca="1" si="2"/>
        <v>A.1.03</v>
      </c>
      <c r="F12" s="157" t="str">
        <f t="shared" ca="1" si="3"/>
        <v>Have you identified and categorised all main third party systems, processes and functions that support your organisation?</v>
      </c>
      <c r="G12" s="134"/>
      <c r="H12" s="156"/>
      <c r="I12" s="158"/>
      <c r="J12" s="156"/>
      <c r="K12" s="156"/>
      <c r="L12" s="156"/>
      <c r="M12" s="156"/>
      <c r="N12" s="137" t="str">
        <f t="shared" ca="1" si="4"/>
        <v>x 3</v>
      </c>
      <c r="O12" s="137" t="str">
        <f t="shared" ca="1" si="5"/>
        <v/>
      </c>
      <c r="P12" s="138"/>
      <c r="Q12" s="138"/>
      <c r="R12" s="134"/>
      <c r="S12" s="134"/>
      <c r="T12" s="134"/>
      <c r="U12" s="134"/>
      <c r="V12" s="134"/>
      <c r="W12" s="134"/>
      <c r="X12" s="134"/>
      <c r="Y12" s="134"/>
      <c r="Z12" s="139"/>
      <c r="AA12" s="134"/>
      <c r="AB12" s="134"/>
      <c r="AC12" s="134"/>
      <c r="AD12" s="134"/>
      <c r="AE12" s="134"/>
      <c r="AF12" s="134"/>
      <c r="AG12" s="134"/>
      <c r="AH12" s="79">
        <v>1</v>
      </c>
      <c r="AI12" s="13"/>
    </row>
    <row r="13" spans="1:35" s="76" customFormat="1" ht="30" customHeight="1" x14ac:dyDescent="0.25">
      <c r="A13" s="222">
        <v>7</v>
      </c>
      <c r="B13" s="74" t="str">
        <f t="shared" ca="1" si="0"/>
        <v>A.1.04</v>
      </c>
      <c r="C13" s="20">
        <f t="shared" ca="1" si="1"/>
        <v>5</v>
      </c>
      <c r="D13" s="20"/>
      <c r="E13" s="135" t="str">
        <f t="shared" ca="1" si="2"/>
        <v>A.1.04</v>
      </c>
      <c r="F13" s="157" t="str">
        <f t="shared" ca="1" si="3"/>
        <v>Do you maintain an underlying technical security assurance framework?</v>
      </c>
      <c r="G13" s="134"/>
      <c r="H13" s="156"/>
      <c r="I13" s="158"/>
      <c r="J13" s="156"/>
      <c r="K13" s="156"/>
      <c r="L13" s="156"/>
      <c r="M13" s="156"/>
      <c r="N13" s="137" t="str">
        <f t="shared" ca="1" si="4"/>
        <v>x 4</v>
      </c>
      <c r="O13" s="137" t="str">
        <f t="shared" ca="1" si="5"/>
        <v/>
      </c>
      <c r="P13" s="138"/>
      <c r="Q13" s="138"/>
      <c r="R13" s="134"/>
      <c r="S13" s="134"/>
      <c r="T13" s="134"/>
      <c r="U13" s="134"/>
      <c r="V13" s="134"/>
      <c r="W13" s="134"/>
      <c r="X13" s="134"/>
      <c r="Y13" s="134"/>
      <c r="Z13" s="139"/>
      <c r="AA13" s="134"/>
      <c r="AB13" s="134"/>
      <c r="AC13" s="134"/>
      <c r="AD13" s="134"/>
      <c r="AE13" s="134"/>
      <c r="AF13" s="134"/>
      <c r="AG13" s="134"/>
      <c r="AH13" s="79">
        <v>1</v>
      </c>
      <c r="AI13" s="13"/>
    </row>
    <row r="14" spans="1:35" s="76" customFormat="1" ht="90" x14ac:dyDescent="0.25">
      <c r="A14" s="222">
        <v>8</v>
      </c>
      <c r="B14" s="74" t="str">
        <f t="shared" ca="1" si="0"/>
        <v/>
      </c>
      <c r="C14" s="20">
        <f t="shared" ca="1" si="1"/>
        <v>3</v>
      </c>
      <c r="D14" s="20"/>
      <c r="E14" s="135" t="str">
        <f t="shared" ca="1" si="2"/>
        <v/>
      </c>
      <c r="F14" s="155" t="str">
        <f t="shared" ca="1" si="3"/>
        <v>A technical security assurance framework would typically include: multiple environments for testing; a security architecture; an ongoing security monitoring services (e.g. in a SOC); an adequate range of technical security services; a balanced selection of preventative, detective and reactive security controls; and a road map or similar to provide a short, medium and long term outlook for security posture.</v>
      </c>
      <c r="G14" s="155"/>
      <c r="H14" s="155"/>
      <c r="I14" s="155"/>
      <c r="J14" s="155"/>
      <c r="K14" s="155"/>
      <c r="L14" s="155"/>
      <c r="M14" s="155"/>
      <c r="N14" s="137" t="str">
        <f t="shared" ca="1" si="4"/>
        <v/>
      </c>
      <c r="O14" s="134" t="str">
        <f t="shared" ca="1" si="5"/>
        <v/>
      </c>
      <c r="P14" s="138"/>
      <c r="Q14" s="138"/>
      <c r="R14" s="134"/>
      <c r="S14" s="134"/>
      <c r="T14" s="134"/>
      <c r="U14" s="134"/>
      <c r="V14" s="134"/>
      <c r="W14" s="134"/>
      <c r="X14" s="134"/>
      <c r="Y14" s="134"/>
      <c r="Z14" s="139"/>
      <c r="AA14" s="134"/>
      <c r="AB14" s="134"/>
      <c r="AC14" s="134"/>
      <c r="AD14" s="134"/>
      <c r="AE14" s="134"/>
      <c r="AF14" s="134"/>
      <c r="AG14" s="134"/>
      <c r="AH14" s="220">
        <v>1</v>
      </c>
      <c r="AI14" s="13"/>
    </row>
    <row r="15" spans="1:35" s="142" customFormat="1" ht="60" x14ac:dyDescent="0.25">
      <c r="A15" s="154">
        <v>9</v>
      </c>
      <c r="B15" s="133" t="str">
        <f t="shared" ca="1" si="0"/>
        <v>A.1.05</v>
      </c>
      <c r="C15" s="134">
        <f t="shared" ca="1" si="1"/>
        <v>5</v>
      </c>
      <c r="D15" s="92"/>
      <c r="E15" s="135" t="str">
        <f t="shared" ca="1" si="2"/>
        <v>A.1.05</v>
      </c>
      <c r="F15" s="157" t="str">
        <f t="shared" ca="1" si="3"/>
        <v>Does your technical security assurance framework include testing: incident response processes; backups, to ensure that critical information and systems can be restored within critical timescales; incident response processes; and disaster recovery / fail-over processes?</v>
      </c>
      <c r="G15" s="134"/>
      <c r="H15" s="156"/>
      <c r="I15" s="158"/>
      <c r="J15" s="156"/>
      <c r="K15" s="156"/>
      <c r="L15" s="156"/>
      <c r="M15" s="156"/>
      <c r="N15" s="137" t="str">
        <f t="shared" ca="1" si="4"/>
        <v>x 3</v>
      </c>
      <c r="O15" s="137" t="str">
        <f t="shared" ca="1" si="5"/>
        <v/>
      </c>
      <c r="P15" s="138"/>
      <c r="Q15" s="138"/>
      <c r="R15" s="134"/>
      <c r="S15" s="134"/>
      <c r="T15" s="134"/>
      <c r="U15" s="134"/>
      <c r="V15" s="134"/>
      <c r="W15" s="134"/>
      <c r="X15" s="134"/>
      <c r="Y15" s="134"/>
      <c r="Z15" s="139"/>
      <c r="AA15" s="134"/>
      <c r="AB15" s="134"/>
      <c r="AC15" s="134"/>
      <c r="AD15" s="134"/>
      <c r="AE15" s="134"/>
      <c r="AF15" s="134"/>
      <c r="AG15" s="134"/>
      <c r="AH15" s="141">
        <v>1</v>
      </c>
      <c r="AI15"/>
    </row>
    <row r="16" spans="1:35" s="142" customFormat="1" ht="60" x14ac:dyDescent="0.25">
      <c r="A16" s="154">
        <v>10</v>
      </c>
      <c r="B16" s="133" t="str">
        <f t="shared" ca="1" si="0"/>
        <v>A.1.06</v>
      </c>
      <c r="C16" s="134">
        <f t="shared" ca="1" si="1"/>
        <v>5</v>
      </c>
      <c r="D16" s="92"/>
      <c r="E16" s="135" t="str">
        <f t="shared" ca="1" si="2"/>
        <v>A.1.06</v>
      </c>
      <c r="F16" s="157" t="str">
        <f t="shared" ca="1" si="3"/>
        <v>Is your technical security assurance framework supported by sufficient budget, skilled resources, processes, tools and technology; backed up by adequate management support and an IT or Cyber security risk management programme?</v>
      </c>
      <c r="G16" s="134"/>
      <c r="H16" s="156"/>
      <c r="I16" s="158"/>
      <c r="J16" s="156"/>
      <c r="K16" s="156"/>
      <c r="L16" s="156"/>
      <c r="M16" s="156"/>
      <c r="N16" s="137" t="str">
        <f t="shared" ca="1" si="4"/>
        <v>x 5</v>
      </c>
      <c r="O16" s="137" t="str">
        <f t="shared" ca="1" si="5"/>
        <v/>
      </c>
      <c r="P16" s="138"/>
      <c r="Q16" s="138"/>
      <c r="R16" s="134"/>
      <c r="S16" s="134"/>
      <c r="T16" s="134"/>
      <c r="U16" s="134"/>
      <c r="V16" s="134"/>
      <c r="W16" s="134"/>
      <c r="X16" s="134"/>
      <c r="Y16" s="134"/>
      <c r="Z16" s="139"/>
      <c r="AA16" s="134"/>
      <c r="AB16" s="134"/>
      <c r="AC16" s="134"/>
      <c r="AD16" s="134"/>
      <c r="AE16" s="134"/>
      <c r="AF16" s="134"/>
      <c r="AG16" s="134"/>
      <c r="AH16" s="141">
        <v>1</v>
      </c>
      <c r="AI16" s="13"/>
    </row>
    <row r="17" spans="1:35" s="142" customFormat="1" ht="105" x14ac:dyDescent="0.25">
      <c r="A17" s="154">
        <v>11</v>
      </c>
      <c r="B17" s="133" t="str">
        <f t="shared" ca="1" si="0"/>
        <v/>
      </c>
      <c r="C17" s="134">
        <f t="shared" ca="1" si="1"/>
        <v>3</v>
      </c>
      <c r="D17" s="92"/>
      <c r="E17" s="135" t="str">
        <f t="shared" ca="1" si="2"/>
        <v/>
      </c>
      <c r="F17" s="155" t="str">
        <f t="shared" ca="1" si="3"/>
        <v>An IT or Cyber security risk management programme would typically include: a documented risk management architecture and framework; a risk management strategy (including risk appetite); details of relevant legal, regulatory and contractual compliance requirements; a list of all main threats, a risk register showing exposure of key assets; and a method of assessing the effectiveness of technical security arrangements.</v>
      </c>
      <c r="G17" s="155"/>
      <c r="H17" s="155"/>
      <c r="I17" s="155"/>
      <c r="J17" s="155"/>
      <c r="K17" s="155"/>
      <c r="L17" s="155"/>
      <c r="M17" s="155"/>
      <c r="N17" s="137" t="str">
        <f t="shared" ca="1" si="4"/>
        <v/>
      </c>
      <c r="O17" s="134" t="str">
        <f t="shared" ca="1" si="5"/>
        <v/>
      </c>
      <c r="P17" s="138"/>
      <c r="Q17" s="138"/>
      <c r="R17" s="134"/>
      <c r="S17" s="134"/>
      <c r="T17" s="134"/>
      <c r="U17" s="134"/>
      <c r="V17" s="134"/>
      <c r="W17" s="134"/>
      <c r="X17" s="134"/>
      <c r="Y17" s="134"/>
      <c r="Z17" s="139"/>
      <c r="AA17" s="134"/>
      <c r="AB17" s="134"/>
      <c r="AC17" s="134"/>
      <c r="AD17" s="134"/>
      <c r="AE17" s="134"/>
      <c r="AF17" s="134"/>
      <c r="AG17" s="134"/>
      <c r="AH17" s="137">
        <v>1</v>
      </c>
      <c r="AI17" s="13"/>
    </row>
    <row r="18" spans="1:35" s="142" customFormat="1" ht="30" customHeight="1" x14ac:dyDescent="0.25">
      <c r="A18" s="151">
        <v>12</v>
      </c>
      <c r="B18" s="133" t="str">
        <f t="shared" ca="1" si="0"/>
        <v>A.2</v>
      </c>
      <c r="C18" s="134">
        <f t="shared" ca="1" si="1"/>
        <v>2</v>
      </c>
      <c r="D18" s="92"/>
      <c r="E18" s="159" t="str">
        <f t="shared" ca="1" si="2"/>
        <v>Step 2</v>
      </c>
      <c r="F18" s="160" t="str">
        <f t="shared" ca="1" si="3"/>
        <v>Establish a penetration testing governance structure</v>
      </c>
      <c r="G18" s="160"/>
      <c r="H18" s="160"/>
      <c r="I18" s="160"/>
      <c r="J18" s="160"/>
      <c r="K18" s="160"/>
      <c r="L18" s="160"/>
      <c r="M18" s="160"/>
      <c r="N18" s="160" t="str">
        <f t="shared" ca="1" si="4"/>
        <v/>
      </c>
      <c r="O18" s="160" t="str">
        <f t="shared" ca="1" si="5"/>
        <v/>
      </c>
      <c r="P18" s="160"/>
      <c r="Q18" s="160"/>
      <c r="R18" s="160"/>
      <c r="S18" s="160"/>
      <c r="T18" s="160"/>
      <c r="U18" s="160"/>
      <c r="V18" s="160"/>
      <c r="W18" s="160"/>
      <c r="X18" s="160"/>
      <c r="Y18" s="160"/>
      <c r="Z18" s="160"/>
      <c r="AA18" s="160"/>
      <c r="AB18" s="160"/>
      <c r="AC18" s="160"/>
      <c r="AD18" s="160"/>
      <c r="AE18" s="160"/>
      <c r="AF18" s="160"/>
      <c r="AG18" s="160"/>
      <c r="AH18" s="141">
        <v>1</v>
      </c>
      <c r="AI18" s="13"/>
    </row>
    <row r="19" spans="1:35" s="142" customFormat="1" ht="30" customHeight="1" x14ac:dyDescent="0.25">
      <c r="A19" s="154">
        <v>13</v>
      </c>
      <c r="B19" s="133" t="str">
        <f t="shared" ca="1" si="0"/>
        <v>A.2.01</v>
      </c>
      <c r="C19" s="134">
        <f t="shared" ca="1" si="1"/>
        <v>5</v>
      </c>
      <c r="D19" s="92"/>
      <c r="E19" s="135" t="str">
        <f t="shared" ca="1" si="2"/>
        <v>A.2.01</v>
      </c>
      <c r="F19" s="157" t="str">
        <f t="shared" ca="1" si="3"/>
        <v>Have you established a suitable governance structure to oversee and coordinate a regular penetration testing programme?</v>
      </c>
      <c r="G19" s="134"/>
      <c r="H19" s="156"/>
      <c r="I19" s="158"/>
      <c r="J19" s="156"/>
      <c r="K19" s="156"/>
      <c r="L19" s="156"/>
      <c r="M19" s="156"/>
      <c r="N19" s="137" t="str">
        <f t="shared" ca="1" si="4"/>
        <v>x 1</v>
      </c>
      <c r="O19" s="137" t="str">
        <f t="shared" ca="1" si="5"/>
        <v/>
      </c>
      <c r="P19" s="138"/>
      <c r="Q19" s="138"/>
      <c r="R19" s="134"/>
      <c r="S19" s="134"/>
      <c r="T19" s="134"/>
      <c r="U19" s="134"/>
      <c r="V19" s="134"/>
      <c r="W19" s="134"/>
      <c r="X19" s="134"/>
      <c r="Y19" s="134"/>
      <c r="Z19" s="139"/>
      <c r="AA19" s="134"/>
      <c r="AB19" s="134"/>
      <c r="AC19" s="134"/>
      <c r="AD19" s="134"/>
      <c r="AE19" s="134"/>
      <c r="AF19" s="134"/>
      <c r="AG19" s="134"/>
      <c r="AH19" s="141">
        <v>1</v>
      </c>
      <c r="AI19" s="13"/>
    </row>
    <row r="20" spans="1:35" s="142" customFormat="1" ht="45" x14ac:dyDescent="0.25">
      <c r="A20" s="154">
        <v>14</v>
      </c>
      <c r="B20" s="133" t="str">
        <f t="shared" ca="1" si="0"/>
        <v/>
      </c>
      <c r="C20" s="134">
        <f t="shared" ca="1" si="1"/>
        <v>3</v>
      </c>
      <c r="D20" s="92"/>
      <c r="E20" s="135" t="str">
        <f t="shared" ca="1" si="2"/>
        <v/>
      </c>
      <c r="F20" s="155" t="str">
        <f t="shared" ca="1" si="3"/>
        <v>An effective governance structure for penetration testing would typically cover all main systems enterprise-wide, while focusing on the most critical, allowing for the protection of any sensitive information.</v>
      </c>
      <c r="G20" s="155"/>
      <c r="H20" s="155"/>
      <c r="I20" s="155"/>
      <c r="J20" s="155"/>
      <c r="K20" s="155"/>
      <c r="L20" s="155"/>
      <c r="M20" s="155"/>
      <c r="N20" s="137" t="str">
        <f t="shared" ca="1" si="4"/>
        <v/>
      </c>
      <c r="O20" s="134" t="str">
        <f t="shared" ca="1" si="5"/>
        <v/>
      </c>
      <c r="P20" s="138"/>
      <c r="Q20" s="138"/>
      <c r="R20" s="134"/>
      <c r="S20" s="134"/>
      <c r="T20" s="134"/>
      <c r="U20" s="134"/>
      <c r="V20" s="134"/>
      <c r="W20" s="134"/>
      <c r="X20" s="134"/>
      <c r="Y20" s="134"/>
      <c r="Z20" s="139"/>
      <c r="AA20" s="134"/>
      <c r="AB20" s="134"/>
      <c r="AC20" s="134"/>
      <c r="AD20" s="134"/>
      <c r="AE20" s="134"/>
      <c r="AF20" s="134"/>
      <c r="AG20" s="134"/>
      <c r="AH20" s="137">
        <v>1</v>
      </c>
      <c r="AI20" s="13"/>
    </row>
    <row r="21" spans="1:35" s="142" customFormat="1" ht="30" customHeight="1" x14ac:dyDescent="0.25">
      <c r="A21" s="154">
        <v>15</v>
      </c>
      <c r="B21" s="133" t="str">
        <f t="shared" ca="1" si="0"/>
        <v>A.2.02</v>
      </c>
      <c r="C21" s="134">
        <f t="shared" ca="1" si="1"/>
        <v>5</v>
      </c>
      <c r="D21" s="92"/>
      <c r="E21" s="135" t="str">
        <f t="shared" ca="1" si="2"/>
        <v>A.2.02</v>
      </c>
      <c r="F21" s="157" t="str">
        <f t="shared" ca="1" si="3"/>
        <v>Have you established a joint management and technical team to agree the programme and scope of regular penetration testing?</v>
      </c>
      <c r="G21" s="134"/>
      <c r="H21" s="156"/>
      <c r="I21" s="158"/>
      <c r="J21" s="156"/>
      <c r="K21" s="156"/>
      <c r="L21" s="156"/>
      <c r="M21" s="156"/>
      <c r="N21" s="137" t="str">
        <f t="shared" ca="1" si="4"/>
        <v>x 4</v>
      </c>
      <c r="O21" s="137" t="str">
        <f t="shared" ca="1" si="5"/>
        <v/>
      </c>
      <c r="P21" s="138"/>
      <c r="Q21" s="138"/>
      <c r="R21" s="134"/>
      <c r="S21" s="134"/>
      <c r="T21" s="134"/>
      <c r="U21" s="134"/>
      <c r="V21" s="134"/>
      <c r="W21" s="134"/>
      <c r="X21" s="134"/>
      <c r="Y21" s="134"/>
      <c r="Z21" s="139"/>
      <c r="AA21" s="134"/>
      <c r="AB21" s="134"/>
      <c r="AC21" s="134"/>
      <c r="AD21" s="134"/>
      <c r="AE21" s="134"/>
      <c r="AF21" s="134"/>
      <c r="AG21" s="134"/>
      <c r="AH21" s="141">
        <v>1</v>
      </c>
      <c r="AI21" s="13"/>
    </row>
    <row r="22" spans="1:35" s="142" customFormat="1" ht="75" x14ac:dyDescent="0.25">
      <c r="A22" s="154">
        <v>16</v>
      </c>
      <c r="B22" s="133" t="str">
        <f t="shared" ca="1" si="0"/>
        <v/>
      </c>
      <c r="C22" s="134">
        <f t="shared" ca="1" si="1"/>
        <v>3</v>
      </c>
      <c r="D22" s="92"/>
      <c r="E22" s="135" t="str">
        <f t="shared" ca="1" si="2"/>
        <v/>
      </c>
      <c r="F22" s="155" t="str">
        <f t="shared" ca="1" si="3"/>
        <v>An effective management and technical team would typically have direct access to senior management to raise significant concerns, supported by the ability and authority to contribute to a wider security improvement, providing adequate control over the penetration testing programme.</v>
      </c>
      <c r="G22" s="155"/>
      <c r="H22" s="155"/>
      <c r="I22" s="155"/>
      <c r="J22" s="155"/>
      <c r="K22" s="155"/>
      <c r="L22" s="155"/>
      <c r="M22" s="155"/>
      <c r="N22" s="137" t="str">
        <f t="shared" ca="1" si="4"/>
        <v/>
      </c>
      <c r="O22" s="134" t="str">
        <f t="shared" ca="1" si="5"/>
        <v/>
      </c>
      <c r="P22" s="138"/>
      <c r="Q22" s="138"/>
      <c r="R22" s="134"/>
      <c r="S22" s="134"/>
      <c r="T22" s="134"/>
      <c r="U22" s="134"/>
      <c r="V22" s="134"/>
      <c r="W22" s="134"/>
      <c r="X22" s="134"/>
      <c r="Y22" s="134"/>
      <c r="Z22" s="139"/>
      <c r="AA22" s="134"/>
      <c r="AB22" s="134"/>
      <c r="AC22" s="134"/>
      <c r="AD22" s="134"/>
      <c r="AE22" s="134"/>
      <c r="AF22" s="134"/>
      <c r="AG22" s="134"/>
      <c r="AH22" s="137">
        <v>1</v>
      </c>
      <c r="AI22" s="13"/>
    </row>
    <row r="23" spans="1:35" s="142" customFormat="1" ht="90" x14ac:dyDescent="0.25">
      <c r="A23" s="154">
        <v>17</v>
      </c>
      <c r="B23" s="133" t="str">
        <f t="shared" ca="1" si="0"/>
        <v>A.2.03</v>
      </c>
      <c r="C23" s="134">
        <f t="shared" ca="1" si="1"/>
        <v>5</v>
      </c>
      <c r="D23" s="92"/>
      <c r="E23" s="135" t="str">
        <f t="shared" ca="1" si="2"/>
        <v>A.2.03</v>
      </c>
      <c r="F23" s="157" t="str">
        <f t="shared" ca="1" si="3"/>
        <v>Does your penetration testing programme include an approved: set of penetration testing processes and methodologies that apply enterprise-wide, supplier selection criteria, a penetration testing assurance management framework and a range of follow up activities to ensure that remediation activities are carried out in an effective manner, reducing the risk of vulnerabilities being exploited in the future?</v>
      </c>
      <c r="G23" s="134"/>
      <c r="H23" s="156"/>
      <c r="I23" s="158"/>
      <c r="J23" s="156"/>
      <c r="K23" s="156"/>
      <c r="L23" s="156"/>
      <c r="M23" s="156"/>
      <c r="N23" s="137" t="str">
        <f t="shared" ca="1" si="4"/>
        <v>x 3</v>
      </c>
      <c r="O23" s="137" t="str">
        <f t="shared" ca="1" si="5"/>
        <v/>
      </c>
      <c r="P23" s="138"/>
      <c r="Q23" s="138"/>
      <c r="R23" s="134"/>
      <c r="S23" s="134"/>
      <c r="T23" s="134"/>
      <c r="U23" s="134"/>
      <c r="V23" s="134"/>
      <c r="W23" s="134"/>
      <c r="X23" s="134"/>
      <c r="Y23" s="134"/>
      <c r="Z23" s="139"/>
      <c r="AA23" s="134"/>
      <c r="AB23" s="134"/>
      <c r="AC23" s="134"/>
      <c r="AD23" s="134"/>
      <c r="AE23" s="134"/>
      <c r="AF23" s="134"/>
      <c r="AG23" s="134"/>
      <c r="AH23" s="141">
        <v>1</v>
      </c>
      <c r="AI23" s="13"/>
    </row>
    <row r="24" spans="1:35" s="142" customFormat="1" ht="60" x14ac:dyDescent="0.25">
      <c r="A24" s="154">
        <v>18</v>
      </c>
      <c r="B24" s="133" t="str">
        <f t="shared" ca="1" si="0"/>
        <v>A.2.04</v>
      </c>
      <c r="C24" s="134">
        <f t="shared" ca="1" si="1"/>
        <v>5</v>
      </c>
      <c r="D24" s="92"/>
      <c r="E24" s="135" t="str">
        <f t="shared" ca="1" si="2"/>
        <v>A.2.04</v>
      </c>
      <c r="F24" s="157" t="str">
        <f t="shared" ca="1" si="3"/>
        <v>Is your penetration testing programme reviewed and approved by appropriate business and IT management, supported by stated objectives and timelines, and integrated in to your underlying technical security assurance framework?</v>
      </c>
      <c r="G24" s="134"/>
      <c r="H24" s="156"/>
      <c r="I24" s="158"/>
      <c r="J24" s="156"/>
      <c r="K24" s="156"/>
      <c r="L24" s="156"/>
      <c r="M24" s="156"/>
      <c r="N24" s="137" t="str">
        <f t="shared" ca="1" si="4"/>
        <v>x 3</v>
      </c>
      <c r="O24" s="137" t="str">
        <f t="shared" ca="1" si="5"/>
        <v/>
      </c>
      <c r="P24" s="138"/>
      <c r="Q24" s="138"/>
      <c r="R24" s="134"/>
      <c r="S24" s="134"/>
      <c r="T24" s="134"/>
      <c r="U24" s="134"/>
      <c r="V24" s="134"/>
      <c r="W24" s="134"/>
      <c r="X24" s="134"/>
      <c r="Y24" s="134"/>
      <c r="Z24" s="139"/>
      <c r="AA24" s="134"/>
      <c r="AB24" s="134"/>
      <c r="AC24" s="134"/>
      <c r="AD24" s="134"/>
      <c r="AE24" s="134"/>
      <c r="AF24" s="134"/>
      <c r="AG24" s="134"/>
      <c r="AH24" s="141">
        <v>1</v>
      </c>
      <c r="AI24" s="13"/>
    </row>
    <row r="25" spans="1:35" s="142" customFormat="1" ht="45" x14ac:dyDescent="0.25">
      <c r="A25" s="154">
        <v>19</v>
      </c>
      <c r="B25" s="133" t="str">
        <f t="shared" ca="1" si="0"/>
        <v>A.2.05</v>
      </c>
      <c r="C25" s="134">
        <f t="shared" ca="1" si="1"/>
        <v>5</v>
      </c>
      <c r="D25" s="92"/>
      <c r="E25" s="135" t="str">
        <f t="shared" ca="1" si="2"/>
        <v>A.2.05</v>
      </c>
      <c r="F25" s="157" t="str">
        <f t="shared" ca="1" si="3"/>
        <v>Does your penetration testing programme align with a wider security review framework, technical security infrastructure and system development processes (particularly for Web applications)?</v>
      </c>
      <c r="G25" s="134"/>
      <c r="H25" s="156"/>
      <c r="I25" s="158"/>
      <c r="J25" s="156"/>
      <c r="K25" s="156"/>
      <c r="L25" s="156"/>
      <c r="M25" s="156"/>
      <c r="N25" s="137" t="str">
        <f t="shared" ca="1" si="4"/>
        <v>x 3</v>
      </c>
      <c r="O25" s="137" t="str">
        <f t="shared" ca="1" si="5"/>
        <v/>
      </c>
      <c r="P25" s="138"/>
      <c r="Q25" s="138"/>
      <c r="R25" s="134"/>
      <c r="S25" s="134"/>
      <c r="T25" s="134"/>
      <c r="U25" s="134"/>
      <c r="V25" s="134"/>
      <c r="W25" s="134"/>
      <c r="X25" s="134"/>
      <c r="Y25" s="134"/>
      <c r="Z25" s="139"/>
      <c r="AA25" s="134"/>
      <c r="AB25" s="134"/>
      <c r="AC25" s="134"/>
      <c r="AD25" s="134"/>
      <c r="AE25" s="134"/>
      <c r="AF25" s="134"/>
      <c r="AG25" s="134"/>
      <c r="AH25" s="141">
        <v>1</v>
      </c>
      <c r="AI25" s="13"/>
    </row>
    <row r="26" spans="1:35" s="142" customFormat="1" ht="75" x14ac:dyDescent="0.25">
      <c r="A26" s="154">
        <v>20</v>
      </c>
      <c r="B26" s="133" t="str">
        <f t="shared" ca="1" si="0"/>
        <v>A.2.06</v>
      </c>
      <c r="C26" s="134">
        <f t="shared" ca="1" si="1"/>
        <v>5</v>
      </c>
      <c r="D26" s="92"/>
      <c r="E26" s="135" t="str">
        <f t="shared" ca="1" si="2"/>
        <v>A.2.06</v>
      </c>
      <c r="F26" s="157" t="str">
        <f t="shared" ca="1" si="3"/>
        <v>Do you have a change management process that enables the secure introduction of or changes to: business initiatives, business processes, web applications and IT infrastructure; legal and regulatory requirements; your threat landscape, security governance approach and security controls framework?</v>
      </c>
      <c r="G26" s="134"/>
      <c r="H26" s="156"/>
      <c r="I26" s="158"/>
      <c r="J26" s="156"/>
      <c r="K26" s="156"/>
      <c r="L26" s="156"/>
      <c r="M26" s="156"/>
      <c r="N26" s="137" t="str">
        <f t="shared" ca="1" si="4"/>
        <v>x 4</v>
      </c>
      <c r="O26" s="137" t="str">
        <f t="shared" ca="1" si="5"/>
        <v/>
      </c>
      <c r="P26" s="138"/>
      <c r="Q26" s="138"/>
      <c r="R26" s="134"/>
      <c r="S26" s="134"/>
      <c r="T26" s="134"/>
      <c r="U26" s="134"/>
      <c r="V26" s="134"/>
      <c r="W26" s="134"/>
      <c r="X26" s="134"/>
      <c r="Y26" s="134"/>
      <c r="Z26" s="139"/>
      <c r="AA26" s="134"/>
      <c r="AB26" s="134"/>
      <c r="AC26" s="134"/>
      <c r="AD26" s="134"/>
      <c r="AE26" s="134"/>
      <c r="AF26" s="134"/>
      <c r="AG26" s="134"/>
      <c r="AH26" s="141">
        <v>1</v>
      </c>
      <c r="AI26" s="13"/>
    </row>
    <row r="27" spans="1:35" s="142" customFormat="1" ht="60" x14ac:dyDescent="0.25">
      <c r="A27" s="154">
        <v>21</v>
      </c>
      <c r="B27" s="133" t="str">
        <f t="shared" ca="1" si="0"/>
        <v>A.2.07</v>
      </c>
      <c r="C27" s="134">
        <f t="shared" ca="1" si="1"/>
        <v>5</v>
      </c>
      <c r="D27" s="92"/>
      <c r="E27" s="135" t="str">
        <f t="shared" ca="1" si="2"/>
        <v>A.2.07</v>
      </c>
      <c r="F27" s="157" t="str">
        <f t="shared" ca="1" si="3"/>
        <v>To support your penetration testing programme, do you maintain key performance indicators for the results of the penetration tests, subscribe to information sharing platforms or services and use them to feed into the penetration testing programme?</v>
      </c>
      <c r="G27" s="134"/>
      <c r="H27" s="156"/>
      <c r="I27" s="158"/>
      <c r="J27" s="156"/>
      <c r="K27" s="156"/>
      <c r="L27" s="156"/>
      <c r="M27" s="156"/>
      <c r="N27" s="137" t="str">
        <f t="shared" ca="1" si="4"/>
        <v>x 5</v>
      </c>
      <c r="O27" s="137" t="str">
        <f t="shared" ca="1" si="5"/>
        <v/>
      </c>
      <c r="P27" s="138"/>
      <c r="Q27" s="138"/>
      <c r="R27" s="134"/>
      <c r="S27" s="134"/>
      <c r="T27" s="134"/>
      <c r="U27" s="134"/>
      <c r="V27" s="134"/>
      <c r="W27" s="134"/>
      <c r="X27" s="134"/>
      <c r="Y27" s="134"/>
      <c r="Z27" s="139"/>
      <c r="AA27" s="134"/>
      <c r="AB27" s="134"/>
      <c r="AC27" s="134"/>
      <c r="AD27" s="134"/>
      <c r="AE27" s="134"/>
      <c r="AF27" s="134"/>
      <c r="AG27" s="134"/>
      <c r="AH27" s="141">
        <v>1</v>
      </c>
      <c r="AI27" s="13"/>
    </row>
    <row r="28" spans="1:35" s="142" customFormat="1" ht="30" customHeight="1" x14ac:dyDescent="0.25">
      <c r="A28" s="154">
        <v>22</v>
      </c>
      <c r="B28" s="133" t="str">
        <f t="shared" ca="1" si="0"/>
        <v>A.2.08</v>
      </c>
      <c r="C28" s="134">
        <f t="shared" ca="1" si="1"/>
        <v>5</v>
      </c>
      <c r="D28" s="92"/>
      <c r="E28" s="135" t="str">
        <f t="shared" ca="1" si="2"/>
        <v>A.2.08</v>
      </c>
      <c r="F28" s="157" t="str">
        <f t="shared" ca="1" si="3"/>
        <v>Are a series of actions taken to provide assurance about the suitability and effectiveness of your penetration testing programme?</v>
      </c>
      <c r="G28" s="134"/>
      <c r="H28" s="156"/>
      <c r="I28" s="158"/>
      <c r="J28" s="156"/>
      <c r="K28" s="156"/>
      <c r="L28" s="156"/>
      <c r="M28" s="156"/>
      <c r="N28" s="137" t="str">
        <f t="shared" ca="1" si="4"/>
        <v>x 5</v>
      </c>
      <c r="O28" s="137" t="str">
        <f t="shared" ca="1" si="5"/>
        <v/>
      </c>
      <c r="P28" s="138"/>
      <c r="Q28" s="138"/>
      <c r="R28" s="134"/>
      <c r="S28" s="134"/>
      <c r="T28" s="134"/>
      <c r="U28" s="134"/>
      <c r="V28" s="134"/>
      <c r="W28" s="134"/>
      <c r="X28" s="134"/>
      <c r="Y28" s="134"/>
      <c r="Z28" s="139"/>
      <c r="AA28" s="134"/>
      <c r="AB28" s="134"/>
      <c r="AC28" s="134"/>
      <c r="AD28" s="134"/>
      <c r="AE28" s="134"/>
      <c r="AF28" s="134"/>
      <c r="AG28" s="134"/>
      <c r="AH28" s="141">
        <v>1</v>
      </c>
      <c r="AI28" s="13"/>
    </row>
    <row r="29" spans="1:35" s="142" customFormat="1" ht="45" x14ac:dyDescent="0.25">
      <c r="A29" s="154">
        <v>23</v>
      </c>
      <c r="B29" s="133" t="str">
        <f t="shared" ca="1" si="0"/>
        <v/>
      </c>
      <c r="C29" s="134">
        <f t="shared" ca="1" si="1"/>
        <v>3</v>
      </c>
      <c r="D29" s="92"/>
      <c r="E29" s="135" t="str">
        <f t="shared" ca="1" si="2"/>
        <v/>
      </c>
      <c r="F29" s="155" t="str">
        <f t="shared" ca="1" si="3"/>
        <v>Appropriate assurance actions would typically include traceability and monitoring of the programme, a continuous improvement process, and independent audits (or similar).</v>
      </c>
      <c r="G29" s="155"/>
      <c r="H29" s="155"/>
      <c r="I29" s="155"/>
      <c r="J29" s="155"/>
      <c r="K29" s="155"/>
      <c r="L29" s="155"/>
      <c r="M29" s="155"/>
      <c r="N29" s="137" t="str">
        <f t="shared" ca="1" si="4"/>
        <v/>
      </c>
      <c r="O29" s="134" t="str">
        <f t="shared" ca="1" si="5"/>
        <v/>
      </c>
      <c r="P29" s="138"/>
      <c r="Q29" s="138"/>
      <c r="R29" s="134"/>
      <c r="S29" s="134"/>
      <c r="T29" s="134"/>
      <c r="U29" s="134"/>
      <c r="V29" s="134"/>
      <c r="W29" s="134"/>
      <c r="X29" s="134"/>
      <c r="Y29" s="134"/>
      <c r="Z29" s="139"/>
      <c r="AA29" s="134"/>
      <c r="AB29" s="134"/>
      <c r="AC29" s="134"/>
      <c r="AD29" s="134"/>
      <c r="AE29" s="134"/>
      <c r="AF29" s="134"/>
      <c r="AG29" s="134"/>
      <c r="AH29" s="137">
        <v>1</v>
      </c>
      <c r="AI29" s="13"/>
    </row>
    <row r="30" spans="1:35" s="142" customFormat="1" ht="30" customHeight="1" x14ac:dyDescent="0.25">
      <c r="A30" s="151">
        <v>24</v>
      </c>
      <c r="B30" s="133" t="str">
        <f t="shared" ca="1" si="0"/>
        <v>A.3</v>
      </c>
      <c r="C30" s="134">
        <f t="shared" ca="1" si="1"/>
        <v>2</v>
      </c>
      <c r="D30" s="92"/>
      <c r="E30" s="159" t="str">
        <f t="shared" ca="1" si="2"/>
        <v>Step 3</v>
      </c>
      <c r="F30" s="160" t="str">
        <f t="shared" ca="1" si="3"/>
        <v>Evaluate drivers for conducting penetration tests</v>
      </c>
      <c r="G30" s="160"/>
      <c r="H30" s="160"/>
      <c r="I30" s="160"/>
      <c r="J30" s="160"/>
      <c r="K30" s="160"/>
      <c r="L30" s="160"/>
      <c r="M30" s="160"/>
      <c r="N30" s="160" t="str">
        <f t="shared" ca="1" si="4"/>
        <v/>
      </c>
      <c r="O30" s="160" t="str">
        <f t="shared" ca="1" si="5"/>
        <v/>
      </c>
      <c r="P30" s="160"/>
      <c r="Q30" s="160"/>
      <c r="R30" s="160"/>
      <c r="S30" s="160"/>
      <c r="T30" s="160"/>
      <c r="U30" s="160"/>
      <c r="V30" s="160"/>
      <c r="W30" s="160"/>
      <c r="X30" s="160"/>
      <c r="Y30" s="160"/>
      <c r="Z30" s="160"/>
      <c r="AA30" s="160"/>
      <c r="AB30" s="160"/>
      <c r="AC30" s="160"/>
      <c r="AD30" s="160"/>
      <c r="AE30" s="160"/>
      <c r="AF30" s="160"/>
      <c r="AG30" s="160"/>
      <c r="AH30" s="141">
        <v>1</v>
      </c>
      <c r="AI30" s="13"/>
    </row>
    <row r="31" spans="1:35" s="142" customFormat="1" ht="30" customHeight="1" x14ac:dyDescent="0.25">
      <c r="A31" s="154">
        <v>25</v>
      </c>
      <c r="B31" s="133" t="str">
        <f t="shared" ca="1" si="0"/>
        <v>A.3.01</v>
      </c>
      <c r="C31" s="134">
        <f t="shared" ca="1" si="1"/>
        <v>5</v>
      </c>
      <c r="D31" s="92"/>
      <c r="E31" s="135" t="str">
        <f t="shared" ca="1" si="2"/>
        <v>A.3.01</v>
      </c>
      <c r="F31" s="157" t="str">
        <f t="shared" ca="1" si="3"/>
        <v>Have you identified drivers for carrying out penetration tests as part of a technical assurance programme?</v>
      </c>
      <c r="G31" s="134"/>
      <c r="H31" s="156"/>
      <c r="I31" s="158"/>
      <c r="J31" s="156"/>
      <c r="K31" s="156"/>
      <c r="L31" s="156"/>
      <c r="M31" s="156"/>
      <c r="N31" s="137" t="str">
        <f t="shared" ca="1" si="4"/>
        <v>x 1</v>
      </c>
      <c r="O31" s="137" t="str">
        <f t="shared" ca="1" si="5"/>
        <v/>
      </c>
      <c r="P31" s="138"/>
      <c r="Q31" s="138"/>
      <c r="R31" s="134"/>
      <c r="S31" s="134"/>
      <c r="T31" s="134"/>
      <c r="U31" s="134"/>
      <c r="V31" s="134"/>
      <c r="W31" s="134"/>
      <c r="X31" s="134"/>
      <c r="Y31" s="134"/>
      <c r="Z31" s="139"/>
      <c r="AA31" s="134"/>
      <c r="AB31" s="134"/>
      <c r="AC31" s="134"/>
      <c r="AD31" s="134"/>
      <c r="AE31" s="134"/>
      <c r="AF31" s="134"/>
      <c r="AG31" s="134"/>
      <c r="AH31" s="141">
        <v>1</v>
      </c>
      <c r="AI31" s="13"/>
    </row>
    <row r="32" spans="1:35" s="142" customFormat="1" ht="30" customHeight="1" x14ac:dyDescent="0.25">
      <c r="A32" s="154">
        <v>26</v>
      </c>
      <c r="B32" s="133" t="str">
        <f t="shared" ca="1" si="0"/>
        <v>A.3.02</v>
      </c>
      <c r="C32" s="134">
        <f t="shared" ca="1" si="1"/>
        <v>5</v>
      </c>
      <c r="D32" s="92"/>
      <c r="E32" s="135" t="str">
        <f t="shared" ca="1" si="2"/>
        <v>A.3.02</v>
      </c>
      <c r="F32" s="157" t="str">
        <f t="shared" ca="1" si="3"/>
        <v>Are your drivers for carrying out penetration tests based on an evaluation of relevant criteria?</v>
      </c>
      <c r="G32" s="134"/>
      <c r="H32" s="156"/>
      <c r="I32" s="158"/>
      <c r="J32" s="156"/>
      <c r="K32" s="156"/>
      <c r="L32" s="156"/>
      <c r="M32" s="156"/>
      <c r="N32" s="137" t="str">
        <f t="shared" ca="1" si="4"/>
        <v>x 3</v>
      </c>
      <c r="O32" s="137" t="str">
        <f t="shared" ca="1" si="5"/>
        <v/>
      </c>
      <c r="P32" s="138"/>
      <c r="Q32" s="138"/>
      <c r="R32" s="134"/>
      <c r="S32" s="134"/>
      <c r="T32" s="134"/>
      <c r="U32" s="134"/>
      <c r="V32" s="134"/>
      <c r="W32" s="134"/>
      <c r="X32" s="134"/>
      <c r="Y32" s="134"/>
      <c r="Z32" s="139"/>
      <c r="AA32" s="134"/>
      <c r="AB32" s="134"/>
      <c r="AC32" s="134"/>
      <c r="AD32" s="134"/>
      <c r="AE32" s="134"/>
      <c r="AF32" s="134"/>
      <c r="AG32" s="134"/>
      <c r="AH32" s="141">
        <v>1</v>
      </c>
      <c r="AI32" s="13"/>
    </row>
    <row r="33" spans="1:35" s="142" customFormat="1" ht="75" x14ac:dyDescent="0.25">
      <c r="A33" s="154">
        <v>27</v>
      </c>
      <c r="B33" s="133" t="str">
        <f t="shared" ca="1" si="0"/>
        <v/>
      </c>
      <c r="C33" s="134">
        <f t="shared" ca="1" si="1"/>
        <v>3</v>
      </c>
      <c r="D33" s="20"/>
      <c r="E33" s="135" t="str">
        <f t="shared" ca="1" si="2"/>
        <v/>
      </c>
      <c r="F33" s="155" t="str">
        <f t="shared" ca="1" si="3"/>
        <v>Criteria for determining the drivers for penetration testing should include any growing requirement for compliance, the impact of serious cyber security attacks, any outsourcing services used, the introduction of new systems and services, significant changes to IT or the business and changes in the type or level of perceived threat.</v>
      </c>
      <c r="G33" s="155"/>
      <c r="H33" s="155"/>
      <c r="I33" s="155"/>
      <c r="J33" s="155"/>
      <c r="K33" s="155"/>
      <c r="L33" s="155"/>
      <c r="M33" s="155"/>
      <c r="N33" s="137" t="str">
        <f t="shared" ca="1" si="4"/>
        <v/>
      </c>
      <c r="O33" s="134" t="str">
        <f t="shared" ca="1" si="5"/>
        <v/>
      </c>
      <c r="P33" s="138"/>
      <c r="Q33" s="138"/>
      <c r="R33" s="134"/>
      <c r="S33" s="134"/>
      <c r="T33" s="134"/>
      <c r="U33" s="134"/>
      <c r="V33" s="134"/>
      <c r="W33" s="134"/>
      <c r="X33" s="134"/>
      <c r="Y33" s="134"/>
      <c r="Z33" s="139"/>
      <c r="AA33" s="134"/>
      <c r="AB33" s="134"/>
      <c r="AC33" s="134"/>
      <c r="AD33" s="134"/>
      <c r="AE33" s="134"/>
      <c r="AF33" s="134"/>
      <c r="AG33" s="134"/>
      <c r="AH33" s="137">
        <v>1</v>
      </c>
      <c r="AI33"/>
    </row>
    <row r="34" spans="1:35" s="142" customFormat="1" ht="60" x14ac:dyDescent="0.25">
      <c r="A34" s="154">
        <v>28</v>
      </c>
      <c r="B34" s="133" t="str">
        <f t="shared" ca="1" si="0"/>
        <v>A.3.03</v>
      </c>
      <c r="C34" s="134">
        <f t="shared" ca="1" si="1"/>
        <v>5</v>
      </c>
      <c r="D34" s="20"/>
      <c r="E34" s="135" t="str">
        <f t="shared" ca="1" si="2"/>
        <v>A.3.03</v>
      </c>
      <c r="F34" s="157" t="str">
        <f t="shared" ca="1" si="3"/>
        <v>Do your drivers for carrying out penetration tests take account of how a penetration test fits into your organisation’s overall security arrangements; the nature and direction of your business – and your risk appetite?</v>
      </c>
      <c r="G34" s="134"/>
      <c r="H34" s="156"/>
      <c r="I34" s="158"/>
      <c r="J34" s="156"/>
      <c r="K34" s="156"/>
      <c r="L34" s="156"/>
      <c r="M34" s="156"/>
      <c r="N34" s="137" t="str">
        <f t="shared" ca="1" si="4"/>
        <v>x 4</v>
      </c>
      <c r="O34" s="137" t="str">
        <f t="shared" ca="1" si="5"/>
        <v/>
      </c>
      <c r="P34" s="138"/>
      <c r="Q34" s="138"/>
      <c r="R34" s="134"/>
      <c r="S34" s="134"/>
      <c r="T34" s="134"/>
      <c r="U34" s="134"/>
      <c r="V34" s="134"/>
      <c r="W34" s="134"/>
      <c r="X34" s="134"/>
      <c r="Y34" s="134"/>
      <c r="Z34" s="139"/>
      <c r="AA34" s="134"/>
      <c r="AB34" s="134"/>
      <c r="AC34" s="134"/>
      <c r="AD34" s="134"/>
      <c r="AE34" s="134"/>
      <c r="AF34" s="134"/>
      <c r="AG34" s="134"/>
      <c r="AH34" s="141">
        <v>1</v>
      </c>
      <c r="AI34" s="13"/>
    </row>
    <row r="35" spans="1:35" s="142" customFormat="1" ht="45" x14ac:dyDescent="0.25">
      <c r="A35" s="154">
        <v>29</v>
      </c>
      <c r="B35" s="133" t="str">
        <f t="shared" ca="1" si="0"/>
        <v>A.3.04</v>
      </c>
      <c r="C35" s="134">
        <f t="shared" ca="1" si="1"/>
        <v>5</v>
      </c>
      <c r="D35" s="20"/>
      <c r="E35" s="135" t="str">
        <f t="shared" ca="1" si="2"/>
        <v>A.3.04</v>
      </c>
      <c r="F35" s="157" t="str">
        <f t="shared" ca="1" si="3"/>
        <v>Are your drivers for carrying out penetration tests informed by findings from risk assessments, audits or reviews; analysis of security incidents; and lessons learnt from any previous penetration tests?</v>
      </c>
      <c r="G35" s="134"/>
      <c r="H35" s="156"/>
      <c r="I35" s="158"/>
      <c r="J35" s="156"/>
      <c r="K35" s="156"/>
      <c r="L35" s="156"/>
      <c r="M35" s="156"/>
      <c r="N35" s="137" t="str">
        <f t="shared" ca="1" si="4"/>
        <v>x 3</v>
      </c>
      <c r="O35" s="137" t="str">
        <f t="shared" ca="1" si="5"/>
        <v/>
      </c>
      <c r="P35" s="138"/>
      <c r="Q35" s="138"/>
      <c r="R35" s="134"/>
      <c r="S35" s="134"/>
      <c r="T35" s="134"/>
      <c r="U35" s="134"/>
      <c r="V35" s="134"/>
      <c r="W35" s="134"/>
      <c r="X35" s="134"/>
      <c r="Y35" s="134"/>
      <c r="Z35" s="139"/>
      <c r="AA35" s="134"/>
      <c r="AB35" s="134"/>
      <c r="AC35" s="134"/>
      <c r="AD35" s="134"/>
      <c r="AE35" s="134"/>
      <c r="AF35" s="134"/>
      <c r="AG35" s="134"/>
      <c r="AH35" s="141">
        <v>1</v>
      </c>
      <c r="AI35" s="13"/>
    </row>
    <row r="36" spans="1:35" s="142" customFormat="1" ht="45" x14ac:dyDescent="0.25">
      <c r="A36" s="154">
        <v>30</v>
      </c>
      <c r="B36" s="133" t="str">
        <f t="shared" ca="1" si="0"/>
        <v>A.3.05</v>
      </c>
      <c r="C36" s="134">
        <f t="shared" ca="1" si="1"/>
        <v>5</v>
      </c>
      <c r="D36" s="20"/>
      <c r="E36" s="135" t="str">
        <f t="shared" ca="1" si="2"/>
        <v>A.3.05</v>
      </c>
      <c r="F36" s="157" t="str">
        <f t="shared" ca="1" si="3"/>
        <v>Have you placed your penetration tests within a wider context of security assessment and strategy to help contextualise the findings and recommendations?</v>
      </c>
      <c r="G36" s="134"/>
      <c r="H36" s="156"/>
      <c r="I36" s="158"/>
      <c r="J36" s="156"/>
      <c r="K36" s="156"/>
      <c r="L36" s="156"/>
      <c r="M36" s="156"/>
      <c r="N36" s="137" t="str">
        <f t="shared" ca="1" si="4"/>
        <v>x 4</v>
      </c>
      <c r="O36" s="137" t="str">
        <f t="shared" ca="1" si="5"/>
        <v/>
      </c>
      <c r="P36" s="138"/>
      <c r="Q36" s="138"/>
      <c r="R36" s="134"/>
      <c r="S36" s="134"/>
      <c r="T36" s="134"/>
      <c r="U36" s="134"/>
      <c r="V36" s="134"/>
      <c r="W36" s="134"/>
      <c r="X36" s="134"/>
      <c r="Y36" s="134"/>
      <c r="Z36" s="139"/>
      <c r="AA36" s="134"/>
      <c r="AB36" s="134"/>
      <c r="AC36" s="134"/>
      <c r="AD36" s="134"/>
      <c r="AE36" s="134"/>
      <c r="AF36" s="134"/>
      <c r="AG36" s="134"/>
      <c r="AH36" s="141">
        <v>1</v>
      </c>
      <c r="AI36" s="13"/>
    </row>
    <row r="37" spans="1:35" s="142" customFormat="1" ht="75" x14ac:dyDescent="0.25">
      <c r="A37" s="154">
        <v>31</v>
      </c>
      <c r="B37" s="133" t="str">
        <f t="shared" ca="1" si="0"/>
        <v>A.3.06</v>
      </c>
      <c r="C37" s="134">
        <f t="shared" ca="1" si="1"/>
        <v>5</v>
      </c>
      <c r="D37" s="20"/>
      <c r="E37" s="135" t="str">
        <f t="shared" ca="1" si="2"/>
        <v>A.3.06</v>
      </c>
      <c r="F37" s="157" t="str">
        <f t="shared" ca="1" si="3"/>
        <v>Do your drivers for penetration testing help to: support the adoption of a strategic view of security management; ensure that major system vulnerabilities are identified and addressed; and reduce the risk of discovering that the same problems still exits the next time a penetration test is carried out?</v>
      </c>
      <c r="G37" s="134"/>
      <c r="H37" s="156"/>
      <c r="I37" s="158"/>
      <c r="J37" s="156"/>
      <c r="K37" s="156"/>
      <c r="L37" s="156"/>
      <c r="M37" s="156"/>
      <c r="N37" s="137" t="str">
        <f t="shared" ca="1" si="4"/>
        <v>x 5</v>
      </c>
      <c r="O37" s="137" t="str">
        <f t="shared" ca="1" si="5"/>
        <v/>
      </c>
      <c r="P37" s="138"/>
      <c r="Q37" s="138"/>
      <c r="R37" s="134"/>
      <c r="S37" s="134"/>
      <c r="T37" s="134"/>
      <c r="U37" s="134"/>
      <c r="V37" s="134"/>
      <c r="W37" s="134"/>
      <c r="X37" s="134"/>
      <c r="Y37" s="134"/>
      <c r="Z37" s="139"/>
      <c r="AA37" s="134"/>
      <c r="AB37" s="134"/>
      <c r="AC37" s="134"/>
      <c r="AD37" s="134"/>
      <c r="AE37" s="134"/>
      <c r="AF37" s="134"/>
      <c r="AG37" s="134"/>
      <c r="AH37" s="141">
        <v>1</v>
      </c>
      <c r="AI37" s="13"/>
    </row>
    <row r="38" spans="1:35" s="142" customFormat="1" ht="30" customHeight="1" x14ac:dyDescent="0.25">
      <c r="A38" s="151">
        <v>32</v>
      </c>
      <c r="B38" s="133" t="str">
        <f t="shared" ca="1" si="0"/>
        <v>A.4</v>
      </c>
      <c r="C38" s="134">
        <f t="shared" ca="1" si="1"/>
        <v>2</v>
      </c>
      <c r="D38" s="20"/>
      <c r="E38" s="159" t="str">
        <f t="shared" ca="1" si="2"/>
        <v>Step 4</v>
      </c>
      <c r="F38" s="160" t="str">
        <f t="shared" ca="1" si="3"/>
        <v>Identify target environments</v>
      </c>
      <c r="G38" s="160"/>
      <c r="H38" s="160"/>
      <c r="I38" s="160"/>
      <c r="J38" s="160"/>
      <c r="K38" s="160"/>
      <c r="L38" s="160"/>
      <c r="M38" s="160"/>
      <c r="N38" s="160" t="str">
        <f t="shared" ca="1" si="4"/>
        <v/>
      </c>
      <c r="O38" s="160" t="str">
        <f t="shared" ca="1" si="5"/>
        <v/>
      </c>
      <c r="P38" s="160"/>
      <c r="Q38" s="160"/>
      <c r="R38" s="160"/>
      <c r="S38" s="160"/>
      <c r="T38" s="160"/>
      <c r="U38" s="160"/>
      <c r="V38" s="160"/>
      <c r="W38" s="160"/>
      <c r="X38" s="160"/>
      <c r="Y38" s="160"/>
      <c r="Z38" s="160"/>
      <c r="AA38" s="160"/>
      <c r="AB38" s="160"/>
      <c r="AC38" s="160"/>
      <c r="AD38" s="160"/>
      <c r="AE38" s="160"/>
      <c r="AF38" s="160"/>
      <c r="AG38" s="160"/>
      <c r="AH38" s="141">
        <v>1</v>
      </c>
      <c r="AI38" s="13"/>
    </row>
    <row r="39" spans="1:35" s="142" customFormat="1" ht="30" customHeight="1" x14ac:dyDescent="0.25">
      <c r="A39" s="154">
        <v>33</v>
      </c>
      <c r="B39" s="133" t="str">
        <f t="shared" ca="1" si="0"/>
        <v>A.4.01</v>
      </c>
      <c r="C39" s="134">
        <f t="shared" ca="1" si="1"/>
        <v>5</v>
      </c>
      <c r="D39" s="20"/>
      <c r="E39" s="135" t="str">
        <f t="shared" ca="1" si="2"/>
        <v>A.4.01</v>
      </c>
      <c r="F39" s="157" t="str">
        <f t="shared" ca="1" si="3"/>
        <v>Have you identified target environments that need to be subject to penetration testing, such as critical web applications and important IT infrastructure?</v>
      </c>
      <c r="G39" s="134"/>
      <c r="H39" s="156"/>
      <c r="I39" s="158"/>
      <c r="J39" s="156"/>
      <c r="K39" s="156"/>
      <c r="L39" s="156"/>
      <c r="M39" s="156"/>
      <c r="N39" s="137" t="str">
        <f t="shared" ca="1" si="4"/>
        <v>x 1</v>
      </c>
      <c r="O39" s="137" t="str">
        <f t="shared" ca="1" si="5"/>
        <v/>
      </c>
      <c r="P39" s="138"/>
      <c r="Q39" s="138"/>
      <c r="R39" s="134"/>
      <c r="S39" s="134"/>
      <c r="T39" s="134"/>
      <c r="U39" s="134"/>
      <c r="V39" s="134"/>
      <c r="W39" s="134"/>
      <c r="X39" s="134"/>
      <c r="Y39" s="134"/>
      <c r="Z39" s="139"/>
      <c r="AA39" s="134"/>
      <c r="AB39" s="134"/>
      <c r="AC39" s="134"/>
      <c r="AD39" s="134"/>
      <c r="AE39" s="134"/>
      <c r="AF39" s="134"/>
      <c r="AG39" s="134"/>
      <c r="AH39" s="141">
        <v>1</v>
      </c>
      <c r="AI39" s="13"/>
    </row>
    <row r="40" spans="1:35" s="142" customFormat="1" ht="60" x14ac:dyDescent="0.25">
      <c r="A40" s="154">
        <v>34</v>
      </c>
      <c r="B40" s="133" t="str">
        <f t="shared" ref="B40:B71" ca="1" si="6">VLOOKUP(A40,Contents_Text,2,FALSE)</f>
        <v>A.4.02</v>
      </c>
      <c r="C40" s="134">
        <f t="shared" ref="C40:C76" ca="1" si="7">VLOOKUP(A40,Contents_Text,15,FALSE)</f>
        <v>5</v>
      </c>
      <c r="D40" s="20"/>
      <c r="E40" s="135" t="str">
        <f t="shared" ref="E40:E76" ca="1" si="8">IF(C40=1,"Phase "&amp;B40,IF(C40=2,"Step "&amp;VLOOKUP(A40,Contents_Text,4,FALSE),B40))</f>
        <v>A.4.02</v>
      </c>
      <c r="F40" s="157" t="str">
        <f t="shared" ref="F40:F76" ca="1" si="9">VLOOKUP(A40,Contents_Text,7,FALSE)</f>
        <v>Does your identification of the target environment take into account business processes; web applications; key parts of IT infrastructure and specialised equipment (e.g. mobile devices and process control systems)?</v>
      </c>
      <c r="G40" s="134"/>
      <c r="H40" s="156"/>
      <c r="I40" s="158"/>
      <c r="J40" s="156"/>
      <c r="K40" s="156"/>
      <c r="L40" s="156"/>
      <c r="M40" s="156"/>
      <c r="N40" s="137" t="str">
        <f t="shared" ref="N40:N76" ca="1" si="10">IFERROR(IF(VLOOKUP(A40,Weightings_Assessments,25,FALSE)=0,"",VLOOKUP(A40,Weightings_Assessments,25,FALSE)),"")</f>
        <v>x 2</v>
      </c>
      <c r="O40" s="137" t="str">
        <f t="shared" ref="O40:O76" ca="1" si="11">IFERROR(VLOOKUP(AH40,detail_maturity_score,3,FALSE)*VLOOKUP(A40,Weightings_Assessments,23,FALSE),"")</f>
        <v/>
      </c>
      <c r="P40" s="138"/>
      <c r="Q40" s="138"/>
      <c r="R40" s="134"/>
      <c r="S40" s="134"/>
      <c r="T40" s="134"/>
      <c r="U40" s="134"/>
      <c r="V40" s="134"/>
      <c r="W40" s="134"/>
      <c r="X40" s="134"/>
      <c r="Y40" s="134"/>
      <c r="Z40" s="139"/>
      <c r="AA40" s="134"/>
      <c r="AB40" s="134"/>
      <c r="AC40" s="134"/>
      <c r="AD40" s="134"/>
      <c r="AE40" s="134"/>
      <c r="AF40" s="134"/>
      <c r="AG40" s="134"/>
      <c r="AH40" s="141">
        <v>1</v>
      </c>
      <c r="AI40" s="13"/>
    </row>
    <row r="41" spans="1:35" s="142" customFormat="1" ht="60" x14ac:dyDescent="0.25">
      <c r="A41" s="154">
        <v>35</v>
      </c>
      <c r="B41" s="133" t="str">
        <f t="shared" ca="1" si="6"/>
        <v>A.4.03</v>
      </c>
      <c r="C41" s="134">
        <f t="shared" ca="1" si="7"/>
        <v>5</v>
      </c>
      <c r="D41" s="20"/>
      <c r="E41" s="135" t="str">
        <f t="shared" ca="1" si="8"/>
        <v>A.4.03</v>
      </c>
      <c r="F41" s="157" t="str">
        <f t="shared" ca="1" si="9"/>
        <v>Does your identification of the target environment consider system criticality; compliance requirements; major business or it services; critical systems under development; and outsourced services (e.g. cloud computing)?</v>
      </c>
      <c r="G41" s="134"/>
      <c r="H41" s="156"/>
      <c r="I41" s="158"/>
      <c r="J41" s="156"/>
      <c r="K41" s="156"/>
      <c r="L41" s="156"/>
      <c r="M41" s="156"/>
      <c r="N41" s="137" t="str">
        <f t="shared" ca="1" si="10"/>
        <v>x 3</v>
      </c>
      <c r="O41" s="137" t="str">
        <f t="shared" ca="1" si="11"/>
        <v/>
      </c>
      <c r="P41" s="138"/>
      <c r="Q41" s="138"/>
      <c r="R41" s="134"/>
      <c r="S41" s="134"/>
      <c r="T41" s="134"/>
      <c r="U41" s="134"/>
      <c r="V41" s="134"/>
      <c r="W41" s="134"/>
      <c r="X41" s="134"/>
      <c r="Y41" s="134"/>
      <c r="Z41" s="139"/>
      <c r="AA41" s="134"/>
      <c r="AB41" s="134"/>
      <c r="AC41" s="134"/>
      <c r="AD41" s="134"/>
      <c r="AE41" s="134"/>
      <c r="AF41" s="134"/>
      <c r="AG41" s="134"/>
      <c r="AH41" s="141">
        <v>1</v>
      </c>
      <c r="AI41" s="13"/>
    </row>
    <row r="42" spans="1:35" s="142" customFormat="1" ht="60" x14ac:dyDescent="0.25">
      <c r="A42" s="154">
        <v>36</v>
      </c>
      <c r="B42" s="133" t="str">
        <f t="shared" ca="1" si="6"/>
        <v>A.4.04</v>
      </c>
      <c r="C42" s="134">
        <f t="shared" ca="1" si="7"/>
        <v>5</v>
      </c>
      <c r="D42" s="20"/>
      <c r="E42" s="135" t="str">
        <f t="shared" ca="1" si="8"/>
        <v>A.4.04</v>
      </c>
      <c r="F42" s="157" t="str">
        <f t="shared" ca="1" si="9"/>
        <v>Does your identification of the target environment include a risk assessment of your organisation’s critical information and systems – and ensure that the testing planned will focus on the assets which pose the highest risk to your organisation?</v>
      </c>
      <c r="G42" s="134"/>
      <c r="H42" s="156"/>
      <c r="I42" s="158"/>
      <c r="J42" s="156"/>
      <c r="K42" s="156"/>
      <c r="L42" s="156"/>
      <c r="M42" s="156"/>
      <c r="N42" s="137" t="str">
        <f t="shared" ca="1" si="10"/>
        <v>x 4</v>
      </c>
      <c r="O42" s="137" t="str">
        <f t="shared" ca="1" si="11"/>
        <v/>
      </c>
      <c r="P42" s="138"/>
      <c r="Q42" s="138"/>
      <c r="R42" s="134"/>
      <c r="S42" s="134"/>
      <c r="T42" s="134"/>
      <c r="U42" s="134"/>
      <c r="V42" s="134"/>
      <c r="W42" s="134"/>
      <c r="X42" s="134"/>
      <c r="Y42" s="134"/>
      <c r="Z42" s="139"/>
      <c r="AA42" s="134"/>
      <c r="AB42" s="134"/>
      <c r="AC42" s="134"/>
      <c r="AD42" s="134"/>
      <c r="AE42" s="134"/>
      <c r="AF42" s="134"/>
      <c r="AG42" s="134"/>
      <c r="AH42" s="141">
        <v>1</v>
      </c>
      <c r="AI42" s="13"/>
    </row>
    <row r="43" spans="1:35" s="142" customFormat="1" ht="60" x14ac:dyDescent="0.25">
      <c r="A43" s="154">
        <v>37</v>
      </c>
      <c r="B43" s="133" t="str">
        <f t="shared" ca="1" si="6"/>
        <v>A.4.05</v>
      </c>
      <c r="C43" s="134">
        <f t="shared" ca="1" si="7"/>
        <v>5</v>
      </c>
      <c r="D43" s="20"/>
      <c r="E43" s="135" t="str">
        <f t="shared" ca="1" si="8"/>
        <v>A.4.05</v>
      </c>
      <c r="F43" s="157" t="str">
        <f t="shared" ca="1" si="9"/>
        <v>Does your identification of the target environment take into account significant changes to critical business processes, business applications, IT infrastructure and business environments (e.g. in particular business units or jurisdictions)?</v>
      </c>
      <c r="G43" s="134"/>
      <c r="H43" s="156"/>
      <c r="I43" s="158"/>
      <c r="J43" s="156"/>
      <c r="K43" s="156"/>
      <c r="L43" s="156"/>
      <c r="M43" s="156"/>
      <c r="N43" s="137" t="str">
        <f t="shared" ca="1" si="10"/>
        <v>x 4</v>
      </c>
      <c r="O43" s="137" t="str">
        <f t="shared" ca="1" si="11"/>
        <v/>
      </c>
      <c r="P43" s="138"/>
      <c r="Q43" s="138"/>
      <c r="R43" s="134"/>
      <c r="S43" s="134"/>
      <c r="T43" s="134"/>
      <c r="U43" s="134"/>
      <c r="V43" s="134"/>
      <c r="W43" s="134"/>
      <c r="X43" s="134"/>
      <c r="Y43" s="134"/>
      <c r="Z43" s="139"/>
      <c r="AA43" s="134"/>
      <c r="AB43" s="134"/>
      <c r="AC43" s="134"/>
      <c r="AD43" s="134"/>
      <c r="AE43" s="134"/>
      <c r="AF43" s="134"/>
      <c r="AG43" s="134"/>
      <c r="AH43" s="141">
        <v>1</v>
      </c>
      <c r="AI43" s="13"/>
    </row>
    <row r="44" spans="1:35" s="142" customFormat="1" ht="30" customHeight="1" x14ac:dyDescent="0.25">
      <c r="A44" s="154">
        <v>38</v>
      </c>
      <c r="B44" s="133" t="str">
        <f t="shared" ca="1" si="6"/>
        <v>A.4.06</v>
      </c>
      <c r="C44" s="134">
        <f t="shared" ca="1" si="7"/>
        <v>5</v>
      </c>
      <c r="D44" s="20"/>
      <c r="E44" s="135" t="str">
        <f t="shared" ca="1" si="8"/>
        <v>A.4.06</v>
      </c>
      <c r="F44" s="157" t="str">
        <f t="shared" ca="1" si="9"/>
        <v>Have penetration testing requirements been built into relevant stages of systems development lifecycles (SDLC) in use by your organisation?</v>
      </c>
      <c r="G44" s="134"/>
      <c r="H44" s="156"/>
      <c r="I44" s="158"/>
      <c r="J44" s="156"/>
      <c r="K44" s="156"/>
      <c r="L44" s="156"/>
      <c r="M44" s="156"/>
      <c r="N44" s="137" t="str">
        <f t="shared" ca="1" si="10"/>
        <v>x 4</v>
      </c>
      <c r="O44" s="137" t="str">
        <f t="shared" ca="1" si="11"/>
        <v/>
      </c>
      <c r="P44" s="138"/>
      <c r="Q44" s="138"/>
      <c r="R44" s="134"/>
      <c r="S44" s="134"/>
      <c r="T44" s="134"/>
      <c r="U44" s="134"/>
      <c r="V44" s="134"/>
      <c r="W44" s="134"/>
      <c r="X44" s="134"/>
      <c r="Y44" s="134"/>
      <c r="Z44" s="139"/>
      <c r="AA44" s="134"/>
      <c r="AB44" s="134"/>
      <c r="AC44" s="134"/>
      <c r="AD44" s="134"/>
      <c r="AE44" s="134"/>
      <c r="AF44" s="134"/>
      <c r="AG44" s="134"/>
      <c r="AH44" s="141">
        <v>1</v>
      </c>
      <c r="AI44" s="13"/>
    </row>
    <row r="45" spans="1:35" s="142" customFormat="1" ht="30" customHeight="1" x14ac:dyDescent="0.25">
      <c r="A45" s="154">
        <v>39</v>
      </c>
      <c r="B45" s="133" t="str">
        <f t="shared" ca="1" si="6"/>
        <v/>
      </c>
      <c r="C45" s="134">
        <f t="shared" ca="1" si="7"/>
        <v>3</v>
      </c>
      <c r="D45" s="20"/>
      <c r="E45" s="135" t="str">
        <f t="shared" ca="1" si="8"/>
        <v/>
      </c>
      <c r="F45" s="155" t="str">
        <f t="shared" ca="1" si="9"/>
        <v>Consideration should be given to conducting penetration tests during the testing stage; implementation stage; and during live operation.</v>
      </c>
      <c r="G45" s="155"/>
      <c r="H45" s="155"/>
      <c r="I45" s="155"/>
      <c r="J45" s="155"/>
      <c r="K45" s="155"/>
      <c r="L45" s="155"/>
      <c r="M45" s="155"/>
      <c r="N45" s="137" t="str">
        <f t="shared" ca="1" si="10"/>
        <v/>
      </c>
      <c r="O45" s="134" t="str">
        <f t="shared" ca="1" si="11"/>
        <v/>
      </c>
      <c r="P45" s="138"/>
      <c r="Q45" s="138"/>
      <c r="R45" s="134"/>
      <c r="S45" s="134"/>
      <c r="T45" s="134"/>
      <c r="U45" s="134"/>
      <c r="V45" s="134"/>
      <c r="W45" s="134"/>
      <c r="X45" s="134"/>
      <c r="Y45" s="134"/>
      <c r="Z45" s="139"/>
      <c r="AA45" s="134"/>
      <c r="AB45" s="134"/>
      <c r="AC45" s="134"/>
      <c r="AD45" s="134"/>
      <c r="AE45" s="134"/>
      <c r="AF45" s="134"/>
      <c r="AG45" s="134"/>
      <c r="AH45" s="137">
        <v>1</v>
      </c>
      <c r="AI45" s="13"/>
    </row>
    <row r="46" spans="1:35" s="142" customFormat="1" ht="30" customHeight="1" x14ac:dyDescent="0.25">
      <c r="A46" s="154">
        <v>40</v>
      </c>
      <c r="B46" s="133" t="str">
        <f t="shared" ca="1" si="6"/>
        <v>A.4.07</v>
      </c>
      <c r="C46" s="134">
        <f t="shared" ca="1" si="7"/>
        <v>5</v>
      </c>
      <c r="D46" s="20"/>
      <c r="E46" s="135" t="str">
        <f t="shared" ca="1" si="8"/>
        <v>A.4.07</v>
      </c>
      <c r="F46" s="157" t="str">
        <f t="shared" ca="1" si="9"/>
        <v>Have you gained permission to test important systems / environments controlled by third parties?</v>
      </c>
      <c r="G46" s="134"/>
      <c r="H46" s="156"/>
      <c r="I46" s="158"/>
      <c r="J46" s="156"/>
      <c r="K46" s="156"/>
      <c r="L46" s="156"/>
      <c r="M46" s="156"/>
      <c r="N46" s="137" t="str">
        <f t="shared" ca="1" si="10"/>
        <v>x 5</v>
      </c>
      <c r="O46" s="137" t="str">
        <f t="shared" ca="1" si="11"/>
        <v/>
      </c>
      <c r="P46" s="138"/>
      <c r="Q46" s="138"/>
      <c r="R46" s="134"/>
      <c r="S46" s="134"/>
      <c r="T46" s="134"/>
      <c r="U46" s="134"/>
      <c r="V46" s="134"/>
      <c r="W46" s="134"/>
      <c r="X46" s="134"/>
      <c r="Y46" s="134"/>
      <c r="Z46" s="139"/>
      <c r="AA46" s="134"/>
      <c r="AB46" s="134"/>
      <c r="AC46" s="134"/>
      <c r="AD46" s="134"/>
      <c r="AE46" s="134"/>
      <c r="AF46" s="134"/>
      <c r="AG46" s="134"/>
      <c r="AH46" s="141">
        <v>1</v>
      </c>
      <c r="AI46" s="13"/>
    </row>
    <row r="47" spans="1:35" s="142" customFormat="1" ht="75" x14ac:dyDescent="0.25">
      <c r="A47" s="154">
        <v>41</v>
      </c>
      <c r="B47" s="133" t="str">
        <f t="shared" ca="1" si="6"/>
        <v/>
      </c>
      <c r="C47" s="134">
        <f t="shared" ca="1" si="7"/>
        <v>3</v>
      </c>
      <c r="D47" s="20"/>
      <c r="E47" s="135" t="str">
        <f t="shared" ca="1" si="8"/>
        <v/>
      </c>
      <c r="F47" s="155" t="str">
        <f t="shared" ca="1" si="9"/>
        <v>If you are not permitted to test important systems / environments controlled by third parties, you should gain assurances that appropriate penetration tests are regularly carried out; tests are conducted by suitably qualified staff working for a certified organisation; and recommendations from the tests are acted upon.</v>
      </c>
      <c r="G47" s="155"/>
      <c r="H47" s="155"/>
      <c r="I47" s="155"/>
      <c r="J47" s="155"/>
      <c r="K47" s="155"/>
      <c r="L47" s="155"/>
      <c r="M47" s="155"/>
      <c r="N47" s="137" t="str">
        <f t="shared" ca="1" si="10"/>
        <v/>
      </c>
      <c r="O47" s="134" t="str">
        <f t="shared" ca="1" si="11"/>
        <v/>
      </c>
      <c r="P47" s="138"/>
      <c r="Q47" s="138"/>
      <c r="R47" s="134"/>
      <c r="S47" s="134"/>
      <c r="T47" s="134"/>
      <c r="U47" s="134"/>
      <c r="V47" s="134"/>
      <c r="W47" s="134"/>
      <c r="X47" s="134"/>
      <c r="Y47" s="134"/>
      <c r="Z47" s="139"/>
      <c r="AA47" s="134"/>
      <c r="AB47" s="134"/>
      <c r="AC47" s="134"/>
      <c r="AD47" s="134"/>
      <c r="AE47" s="134"/>
      <c r="AF47" s="134"/>
      <c r="AG47" s="134"/>
      <c r="AH47" s="137">
        <v>1</v>
      </c>
      <c r="AI47" s="13"/>
    </row>
    <row r="48" spans="1:35" s="142" customFormat="1" ht="30" customHeight="1" x14ac:dyDescent="0.25">
      <c r="A48" s="151">
        <v>42</v>
      </c>
      <c r="B48" s="133" t="str">
        <f t="shared" ca="1" si="6"/>
        <v>A.5</v>
      </c>
      <c r="C48" s="134">
        <f t="shared" ca="1" si="7"/>
        <v>2</v>
      </c>
      <c r="D48" s="20"/>
      <c r="E48" s="159" t="str">
        <f t="shared" ca="1" si="8"/>
        <v>Step 5</v>
      </c>
      <c r="F48" s="160" t="str">
        <f t="shared" ca="1" si="9"/>
        <v>Define the purpose of the penetration tests</v>
      </c>
      <c r="G48" s="160"/>
      <c r="H48" s="160"/>
      <c r="I48" s="160"/>
      <c r="J48" s="160"/>
      <c r="K48" s="160"/>
      <c r="L48" s="160"/>
      <c r="M48" s="160"/>
      <c r="N48" s="160" t="str">
        <f t="shared" ca="1" si="10"/>
        <v/>
      </c>
      <c r="O48" s="160" t="str">
        <f t="shared" ca="1" si="11"/>
        <v/>
      </c>
      <c r="P48" s="160"/>
      <c r="Q48" s="160"/>
      <c r="R48" s="160"/>
      <c r="S48" s="160"/>
      <c r="T48" s="160"/>
      <c r="U48" s="160"/>
      <c r="V48" s="160"/>
      <c r="W48" s="160"/>
      <c r="X48" s="160"/>
      <c r="Y48" s="160"/>
      <c r="Z48" s="160"/>
      <c r="AA48" s="160"/>
      <c r="AB48" s="160"/>
      <c r="AC48" s="160"/>
      <c r="AD48" s="160"/>
      <c r="AE48" s="160"/>
      <c r="AF48" s="160"/>
      <c r="AG48" s="160"/>
      <c r="AH48" s="141">
        <v>1</v>
      </c>
      <c r="AI48" s="13"/>
    </row>
    <row r="49" spans="1:35" s="142" customFormat="1" ht="30" customHeight="1" x14ac:dyDescent="0.25">
      <c r="A49" s="154">
        <v>43</v>
      </c>
      <c r="B49" s="133" t="str">
        <f t="shared" ca="1" si="6"/>
        <v>A.5.01</v>
      </c>
      <c r="C49" s="134">
        <f t="shared" ca="1" si="7"/>
        <v>5</v>
      </c>
      <c r="D49" s="20"/>
      <c r="E49" s="135" t="str">
        <f t="shared" ca="1" si="8"/>
        <v>A.5.01</v>
      </c>
      <c r="F49" s="157" t="str">
        <f t="shared" ca="1" si="9"/>
        <v>Do you define the purpose of penetration tests, and assess how these tests can help your organisation?</v>
      </c>
      <c r="G49" s="134"/>
      <c r="H49" s="156"/>
      <c r="I49" s="158"/>
      <c r="J49" s="156"/>
      <c r="K49" s="156"/>
      <c r="L49" s="156"/>
      <c r="M49" s="156"/>
      <c r="N49" s="137" t="str">
        <f t="shared" ca="1" si="10"/>
        <v>x 3</v>
      </c>
      <c r="O49" s="137" t="str">
        <f t="shared" ca="1" si="11"/>
        <v/>
      </c>
      <c r="P49" s="138"/>
      <c r="Q49" s="138"/>
      <c r="R49" s="134"/>
      <c r="S49" s="134"/>
      <c r="T49" s="134"/>
      <c r="U49" s="134"/>
      <c r="V49" s="134"/>
      <c r="W49" s="134"/>
      <c r="X49" s="134"/>
      <c r="Y49" s="134"/>
      <c r="Z49" s="139"/>
      <c r="AA49" s="134"/>
      <c r="AB49" s="134"/>
      <c r="AC49" s="134"/>
      <c r="AD49" s="134"/>
      <c r="AE49" s="134"/>
      <c r="AF49" s="134"/>
      <c r="AG49" s="134"/>
      <c r="AH49" s="141">
        <v>1</v>
      </c>
      <c r="AI49" s="13"/>
    </row>
    <row r="50" spans="1:35" s="142" customFormat="1" ht="105" x14ac:dyDescent="0.25">
      <c r="A50" s="154">
        <v>44</v>
      </c>
      <c r="B50" s="133" t="str">
        <f t="shared" ca="1" si="6"/>
        <v/>
      </c>
      <c r="C50" s="134">
        <f t="shared" ca="1" si="7"/>
        <v>3</v>
      </c>
      <c r="D50" s="20"/>
      <c r="E50" s="135" t="str">
        <f t="shared" ca="1" si="8"/>
        <v/>
      </c>
      <c r="F50" s="155" t="str">
        <f t="shared" ca="1" si="9"/>
        <v>A well-defined penetration tests should help your organisation to identify weaknesses in your security controls; reduce the frequency and impact of security incidents; comply with legal and regulatory requirements; provide assurance to third parties that business applications can be trusted and that customer data is adequately protected; and limit liabilities if things go wrong, or if there is a court case (i.e. take ‘reasonable’ precautions).</v>
      </c>
      <c r="G50" s="155"/>
      <c r="H50" s="155"/>
      <c r="I50" s="155"/>
      <c r="J50" s="155"/>
      <c r="K50" s="155"/>
      <c r="L50" s="155"/>
      <c r="M50" s="155"/>
      <c r="N50" s="137" t="str">
        <f t="shared" ca="1" si="10"/>
        <v/>
      </c>
      <c r="O50" s="134" t="str">
        <f t="shared" ca="1" si="11"/>
        <v/>
      </c>
      <c r="P50" s="138"/>
      <c r="Q50" s="138"/>
      <c r="R50" s="134"/>
      <c r="S50" s="134"/>
      <c r="T50" s="134"/>
      <c r="U50" s="134"/>
      <c r="V50" s="134"/>
      <c r="W50" s="134"/>
      <c r="X50" s="134"/>
      <c r="Y50" s="134"/>
      <c r="Z50" s="139"/>
      <c r="AA50" s="134"/>
      <c r="AB50" s="134"/>
      <c r="AC50" s="134"/>
      <c r="AD50" s="134"/>
      <c r="AE50" s="134"/>
      <c r="AF50" s="134"/>
      <c r="AG50" s="134"/>
      <c r="AH50" s="137">
        <v>1</v>
      </c>
      <c r="AI50" s="13"/>
    </row>
    <row r="51" spans="1:35" s="142" customFormat="1" ht="30" customHeight="1" x14ac:dyDescent="0.25">
      <c r="A51" s="154">
        <v>45</v>
      </c>
      <c r="B51" s="133" t="str">
        <f t="shared" ca="1" si="6"/>
        <v>A.5.02</v>
      </c>
      <c r="C51" s="134">
        <f t="shared" ca="1" si="7"/>
        <v>5</v>
      </c>
      <c r="D51" s="20"/>
      <c r="E51" s="135" t="str">
        <f t="shared" ca="1" si="8"/>
        <v>A.5.02</v>
      </c>
      <c r="F51" s="157" t="str">
        <f t="shared" ca="1" si="9"/>
        <v>Do you determine what penetration testing will help you to achieve (i.e. the benefits)?</v>
      </c>
      <c r="G51" s="134"/>
      <c r="H51" s="156"/>
      <c r="I51" s="158"/>
      <c r="J51" s="156"/>
      <c r="K51" s="156"/>
      <c r="L51" s="156"/>
      <c r="M51" s="156"/>
      <c r="N51" s="137" t="str">
        <f t="shared" ca="1" si="10"/>
        <v>x 5</v>
      </c>
      <c r="O51" s="137" t="str">
        <f t="shared" ca="1" si="11"/>
        <v/>
      </c>
      <c r="P51" s="138"/>
      <c r="Q51" s="138"/>
      <c r="R51" s="134"/>
      <c r="S51" s="134"/>
      <c r="T51" s="134"/>
      <c r="U51" s="134"/>
      <c r="V51" s="134"/>
      <c r="W51" s="134"/>
      <c r="X51" s="134"/>
      <c r="Y51" s="134"/>
      <c r="Z51" s="139"/>
      <c r="AA51" s="134"/>
      <c r="AB51" s="134"/>
      <c r="AC51" s="134"/>
      <c r="AD51" s="134"/>
      <c r="AE51" s="134"/>
      <c r="AF51" s="134"/>
      <c r="AG51" s="134"/>
      <c r="AH51" s="141">
        <v>1</v>
      </c>
      <c r="AI51" s="13"/>
    </row>
    <row r="52" spans="1:35" s="142" customFormat="1" ht="45" x14ac:dyDescent="0.25">
      <c r="A52" s="154">
        <v>46</v>
      </c>
      <c r="B52" s="133" t="str">
        <f t="shared" ca="1" si="6"/>
        <v/>
      </c>
      <c r="C52" s="134">
        <f t="shared" ca="1" si="7"/>
        <v>3</v>
      </c>
      <c r="D52" s="20"/>
      <c r="E52" s="135" t="str">
        <f t="shared" ca="1" si="8"/>
        <v/>
      </c>
      <c r="F52" s="155" t="str">
        <f t="shared" ca="1" si="9"/>
        <v>Benefits of penetration tests can include IT cost reductions; technical and business improvements; as well as greater awareness of security risks and controls.</v>
      </c>
      <c r="G52" s="155"/>
      <c r="H52" s="155"/>
      <c r="I52" s="155"/>
      <c r="J52" s="155"/>
      <c r="K52" s="155"/>
      <c r="L52" s="155"/>
      <c r="M52" s="155"/>
      <c r="N52" s="137" t="str">
        <f t="shared" ca="1" si="10"/>
        <v/>
      </c>
      <c r="O52" s="134" t="str">
        <f t="shared" ca="1" si="11"/>
        <v/>
      </c>
      <c r="P52" s="138"/>
      <c r="Q52" s="138"/>
      <c r="R52" s="134"/>
      <c r="S52" s="134"/>
      <c r="T52" s="134"/>
      <c r="U52" s="134"/>
      <c r="V52" s="134"/>
      <c r="W52" s="134"/>
      <c r="X52" s="134"/>
      <c r="Y52" s="134"/>
      <c r="Z52" s="139"/>
      <c r="AA52" s="134"/>
      <c r="AB52" s="134"/>
      <c r="AC52" s="134"/>
      <c r="AD52" s="134"/>
      <c r="AE52" s="134"/>
      <c r="AF52" s="134"/>
      <c r="AG52" s="134"/>
      <c r="AH52" s="137">
        <v>1</v>
      </c>
      <c r="AI52" s="13"/>
    </row>
    <row r="53" spans="1:35" s="142" customFormat="1" ht="30" customHeight="1" x14ac:dyDescent="0.25">
      <c r="A53" s="154">
        <v>47</v>
      </c>
      <c r="B53" s="133" t="str">
        <f t="shared" ca="1" si="6"/>
        <v>A.5.03</v>
      </c>
      <c r="C53" s="134">
        <f t="shared" ca="1" si="7"/>
        <v>5</v>
      </c>
      <c r="D53" s="20"/>
      <c r="E53" s="135" t="str">
        <f t="shared" ca="1" si="8"/>
        <v>A.5.03</v>
      </c>
      <c r="F53" s="157" t="str">
        <f t="shared" ca="1" si="9"/>
        <v>Do you consider the scope limitations of penetration testing?</v>
      </c>
      <c r="G53" s="134"/>
      <c r="H53" s="156"/>
      <c r="I53" s="158"/>
      <c r="J53" s="156"/>
      <c r="K53" s="156"/>
      <c r="L53" s="156"/>
      <c r="M53" s="156"/>
      <c r="N53" s="137" t="str">
        <f t="shared" ca="1" si="10"/>
        <v>x 3</v>
      </c>
      <c r="O53" s="137" t="str">
        <f t="shared" ca="1" si="11"/>
        <v/>
      </c>
      <c r="P53" s="138"/>
      <c r="Q53" s="138"/>
      <c r="R53" s="134"/>
      <c r="S53" s="134"/>
      <c r="T53" s="134"/>
      <c r="U53" s="134"/>
      <c r="V53" s="134"/>
      <c r="W53" s="134"/>
      <c r="X53" s="134"/>
      <c r="Y53" s="134"/>
      <c r="Z53" s="139"/>
      <c r="AA53" s="134"/>
      <c r="AB53" s="134"/>
      <c r="AC53" s="134"/>
      <c r="AD53" s="134"/>
      <c r="AE53" s="134"/>
      <c r="AF53" s="134"/>
      <c r="AG53" s="134"/>
      <c r="AH53" s="141">
        <v>1</v>
      </c>
      <c r="AI53" s="13"/>
    </row>
    <row r="54" spans="1:35" s="142" customFormat="1" ht="60" x14ac:dyDescent="0.25">
      <c r="A54" s="154">
        <v>48</v>
      </c>
      <c r="B54" s="133" t="str">
        <f t="shared" ca="1" si="6"/>
        <v/>
      </c>
      <c r="C54" s="134">
        <f t="shared" ca="1" si="7"/>
        <v>3</v>
      </c>
      <c r="D54" s="20"/>
      <c r="E54" s="135" t="str">
        <f t="shared" ca="1" si="8"/>
        <v/>
      </c>
      <c r="F54" s="155" t="str">
        <f t="shared" ca="1" si="9"/>
        <v>When evaluating the scoping limitations of penetration testing you should take into account that a test covers just the target environment that has been selected; is only a snapshot of a system at a point in time; and plays only a small part in an organisation’s defence system.</v>
      </c>
      <c r="G54" s="155"/>
      <c r="H54" s="155"/>
      <c r="I54" s="155"/>
      <c r="J54" s="155"/>
      <c r="K54" s="155"/>
      <c r="L54" s="155"/>
      <c r="M54" s="155"/>
      <c r="N54" s="137" t="str">
        <f t="shared" ca="1" si="10"/>
        <v/>
      </c>
      <c r="O54" s="134" t="str">
        <f t="shared" ca="1" si="11"/>
        <v/>
      </c>
      <c r="P54" s="138"/>
      <c r="Q54" s="138"/>
      <c r="R54" s="134"/>
      <c r="S54" s="134"/>
      <c r="T54" s="134"/>
      <c r="U54" s="134"/>
      <c r="V54" s="134"/>
      <c r="W54" s="134"/>
      <c r="X54" s="134"/>
      <c r="Y54" s="134"/>
      <c r="Z54" s="139"/>
      <c r="AA54" s="134"/>
      <c r="AB54" s="134"/>
      <c r="AC54" s="134"/>
      <c r="AD54" s="134"/>
      <c r="AE54" s="134"/>
      <c r="AF54" s="134"/>
      <c r="AG54" s="134"/>
      <c r="AH54" s="137">
        <v>1</v>
      </c>
      <c r="AI54" s="13"/>
    </row>
    <row r="55" spans="1:35" s="142" customFormat="1" ht="30" customHeight="1" x14ac:dyDescent="0.25">
      <c r="A55" s="154">
        <v>49</v>
      </c>
      <c r="B55" s="133" t="str">
        <f t="shared" ca="1" si="6"/>
        <v>A.5.04</v>
      </c>
      <c r="C55" s="134">
        <f t="shared" ca="1" si="7"/>
        <v>5</v>
      </c>
      <c r="D55" s="20"/>
      <c r="E55" s="135" t="str">
        <f t="shared" ca="1" si="8"/>
        <v>A.5.04</v>
      </c>
      <c r="F55" s="157" t="str">
        <f t="shared" ca="1" si="9"/>
        <v>Do you consider the technical limitations of penetration testing?</v>
      </c>
      <c r="G55" s="134"/>
      <c r="H55" s="156"/>
      <c r="I55" s="158"/>
      <c r="J55" s="156"/>
      <c r="K55" s="156"/>
      <c r="L55" s="156"/>
      <c r="M55" s="156"/>
      <c r="N55" s="137" t="str">
        <f t="shared" ca="1" si="10"/>
        <v>x 3</v>
      </c>
      <c r="O55" s="137" t="str">
        <f t="shared" ca="1" si="11"/>
        <v/>
      </c>
      <c r="P55" s="138"/>
      <c r="Q55" s="138"/>
      <c r="R55" s="134"/>
      <c r="S55" s="134"/>
      <c r="T55" s="134"/>
      <c r="U55" s="134"/>
      <c r="V55" s="134"/>
      <c r="W55" s="134"/>
      <c r="X55" s="134"/>
      <c r="Y55" s="134"/>
      <c r="Z55" s="139"/>
      <c r="AA55" s="134"/>
      <c r="AB55" s="134"/>
      <c r="AC55" s="134"/>
      <c r="AD55" s="134"/>
      <c r="AE55" s="134"/>
      <c r="AF55" s="134"/>
      <c r="AG55" s="134"/>
      <c r="AH55" s="141">
        <v>1</v>
      </c>
      <c r="AI55" s="13"/>
    </row>
    <row r="56" spans="1:35" s="142" customFormat="1" ht="75" x14ac:dyDescent="0.25">
      <c r="A56" s="154">
        <v>50</v>
      </c>
      <c r="B56" s="133" t="str">
        <f t="shared" ca="1" si="6"/>
        <v/>
      </c>
      <c r="C56" s="134">
        <f t="shared" ca="1" si="7"/>
        <v>3</v>
      </c>
      <c r="D56" s="20"/>
      <c r="E56" s="135" t="str">
        <f t="shared" ca="1" si="8"/>
        <v/>
      </c>
      <c r="F56" s="155" t="str">
        <f t="shared" ca="1" si="9"/>
        <v>When evaluating the testing limitations of penetration testing you should take into account that a test focuses on the exposures in technical infrastructure; can be limited by legal or commercial considerations (limiting the breadth or depth of a test); and may not uncover all security weaknesses.</v>
      </c>
      <c r="G56" s="155"/>
      <c r="H56" s="155"/>
      <c r="I56" s="155"/>
      <c r="J56" s="155"/>
      <c r="K56" s="155"/>
      <c r="L56" s="155"/>
      <c r="M56" s="155"/>
      <c r="N56" s="137" t="str">
        <f t="shared" ca="1" si="10"/>
        <v/>
      </c>
      <c r="O56" s="134" t="str">
        <f t="shared" ca="1" si="11"/>
        <v/>
      </c>
      <c r="P56" s="138"/>
      <c r="Q56" s="138"/>
      <c r="R56" s="134"/>
      <c r="S56" s="134"/>
      <c r="T56" s="134"/>
      <c r="U56" s="134"/>
      <c r="V56" s="134"/>
      <c r="W56" s="134"/>
      <c r="X56" s="134"/>
      <c r="Y56" s="134"/>
      <c r="Z56" s="139"/>
      <c r="AA56" s="134"/>
      <c r="AB56" s="134"/>
      <c r="AC56" s="134"/>
      <c r="AD56" s="134"/>
      <c r="AE56" s="134"/>
      <c r="AF56" s="134"/>
      <c r="AG56" s="134"/>
      <c r="AH56" s="137">
        <v>1</v>
      </c>
      <c r="AI56" s="13"/>
    </row>
    <row r="57" spans="1:35" s="142" customFormat="1" ht="30" customHeight="1" x14ac:dyDescent="0.25">
      <c r="A57" s="154">
        <v>51</v>
      </c>
      <c r="B57" s="133" t="str">
        <f t="shared" ca="1" si="6"/>
        <v>A.5.05</v>
      </c>
      <c r="C57" s="134">
        <f t="shared" ca="1" si="7"/>
        <v>5</v>
      </c>
      <c r="D57" s="20"/>
      <c r="E57" s="135" t="str">
        <f t="shared" ca="1" si="8"/>
        <v>A.5.05</v>
      </c>
      <c r="F57" s="157" t="str">
        <f t="shared" ca="1" si="9"/>
        <v>Do you evaluate the potential difficulties involved with scoping penetration tests?</v>
      </c>
      <c r="G57" s="134"/>
      <c r="H57" s="156"/>
      <c r="I57" s="158"/>
      <c r="J57" s="156"/>
      <c r="K57" s="156"/>
      <c r="L57" s="156"/>
      <c r="M57" s="156"/>
      <c r="N57" s="137" t="str">
        <f t="shared" ca="1" si="10"/>
        <v>x 3</v>
      </c>
      <c r="O57" s="137" t="str">
        <f t="shared" ca="1" si="11"/>
        <v/>
      </c>
      <c r="P57" s="138"/>
      <c r="Q57" s="138"/>
      <c r="R57" s="134"/>
      <c r="S57" s="134"/>
      <c r="T57" s="134"/>
      <c r="U57" s="134"/>
      <c r="V57" s="134"/>
      <c r="W57" s="134"/>
      <c r="X57" s="134"/>
      <c r="Y57" s="134"/>
      <c r="Z57" s="139"/>
      <c r="AA57" s="134"/>
      <c r="AB57" s="134"/>
      <c r="AC57" s="134"/>
      <c r="AD57" s="134"/>
      <c r="AE57" s="134"/>
      <c r="AF57" s="134"/>
      <c r="AG57" s="134"/>
      <c r="AH57" s="141">
        <v>1</v>
      </c>
      <c r="AI57" s="13"/>
    </row>
    <row r="58" spans="1:35" s="142" customFormat="1" ht="75" x14ac:dyDescent="0.25">
      <c r="A58" s="154">
        <v>52</v>
      </c>
      <c r="B58" s="133" t="str">
        <f t="shared" ca="1" si="6"/>
        <v/>
      </c>
      <c r="C58" s="134">
        <f t="shared" ca="1" si="7"/>
        <v>3</v>
      </c>
      <c r="D58" s="20"/>
      <c r="E58" s="135" t="str">
        <f t="shared" ca="1" si="8"/>
        <v/>
      </c>
      <c r="F58" s="155" t="str">
        <f t="shared" ca="1" si="9"/>
        <v>The potential scoping difficulties involved with carrying out penetration testing can include: determining the depth and breadth of coverage of the test; identifying the style, type, targets and frequency of tests; managing risks associated with potential system failure and exposure of sensitive data; and remediating system vulnerabilities effectively.</v>
      </c>
      <c r="G58" s="155"/>
      <c r="H58" s="155"/>
      <c r="I58" s="155"/>
      <c r="J58" s="155"/>
      <c r="K58" s="155"/>
      <c r="L58" s="155"/>
      <c r="M58" s="155"/>
      <c r="N58" s="137" t="str">
        <f t="shared" ca="1" si="10"/>
        <v/>
      </c>
      <c r="O58" s="134" t="str">
        <f t="shared" ca="1" si="11"/>
        <v/>
      </c>
      <c r="P58" s="138"/>
      <c r="Q58" s="138"/>
      <c r="R58" s="134"/>
      <c r="S58" s="134"/>
      <c r="T58" s="134"/>
      <c r="U58" s="134"/>
      <c r="V58" s="134"/>
      <c r="W58" s="134"/>
      <c r="X58" s="134"/>
      <c r="Y58" s="134"/>
      <c r="Z58" s="139"/>
      <c r="AA58" s="134"/>
      <c r="AB58" s="134"/>
      <c r="AC58" s="134"/>
      <c r="AD58" s="134"/>
      <c r="AE58" s="134"/>
      <c r="AF58" s="134"/>
      <c r="AG58" s="134"/>
      <c r="AH58" s="137">
        <v>1</v>
      </c>
      <c r="AI58" s="13"/>
    </row>
    <row r="59" spans="1:35" s="142" customFormat="1" ht="30" customHeight="1" x14ac:dyDescent="0.25">
      <c r="A59" s="154">
        <v>53</v>
      </c>
      <c r="B59" s="133" t="str">
        <f t="shared" ca="1" si="6"/>
        <v>A.5.06</v>
      </c>
      <c r="C59" s="134">
        <f t="shared" ca="1" si="7"/>
        <v>5</v>
      </c>
      <c r="D59" s="20"/>
      <c r="E59" s="135" t="str">
        <f t="shared" ca="1" si="8"/>
        <v>A.5.06</v>
      </c>
      <c r="F59" s="157" t="str">
        <f t="shared" ca="1" si="9"/>
        <v>Do you evaluate the potential difficulties involved with resourcing penetration tests?</v>
      </c>
      <c r="G59" s="134"/>
      <c r="H59" s="156"/>
      <c r="I59" s="158"/>
      <c r="J59" s="156"/>
      <c r="K59" s="156"/>
      <c r="L59" s="156"/>
      <c r="M59" s="156"/>
      <c r="N59" s="137" t="str">
        <f t="shared" ca="1" si="10"/>
        <v>x 4</v>
      </c>
      <c r="O59" s="137" t="str">
        <f t="shared" ca="1" si="11"/>
        <v/>
      </c>
      <c r="P59" s="138"/>
      <c r="Q59" s="138"/>
      <c r="R59" s="134"/>
      <c r="S59" s="134"/>
      <c r="T59" s="134"/>
      <c r="U59" s="134"/>
      <c r="V59" s="134"/>
      <c r="W59" s="134"/>
      <c r="X59" s="134"/>
      <c r="Y59" s="134"/>
      <c r="Z59" s="139"/>
      <c r="AA59" s="134"/>
      <c r="AB59" s="134"/>
      <c r="AC59" s="134"/>
      <c r="AD59" s="134"/>
      <c r="AE59" s="134"/>
      <c r="AF59" s="134"/>
      <c r="AG59" s="134"/>
      <c r="AH59" s="141">
        <v>1</v>
      </c>
      <c r="AI59" s="13"/>
    </row>
    <row r="60" spans="1:35" s="142" customFormat="1" ht="60" x14ac:dyDescent="0.25">
      <c r="A60" s="154">
        <v>54</v>
      </c>
      <c r="B60" s="133" t="str">
        <f t="shared" ca="1" si="6"/>
        <v/>
      </c>
      <c r="C60" s="134">
        <f t="shared" ca="1" si="7"/>
        <v>3</v>
      </c>
      <c r="D60" s="20"/>
      <c r="E60" s="135" t="str">
        <f t="shared" ca="1" si="8"/>
        <v/>
      </c>
      <c r="F60" s="155" t="str">
        <f t="shared" ca="1" si="9"/>
        <v>The potential resourcing difficulties in carrying out penetration testing can include: understanding the costs of external services (and in determining the true overall cost of testing); and finding a suitable penetration testing expert when required (e.g. at short notice).</v>
      </c>
      <c r="G60" s="155"/>
      <c r="H60" s="155"/>
      <c r="I60" s="155"/>
      <c r="J60" s="155"/>
      <c r="K60" s="155"/>
      <c r="L60" s="155"/>
      <c r="M60" s="155"/>
      <c r="N60" s="137" t="str">
        <f t="shared" ca="1" si="10"/>
        <v/>
      </c>
      <c r="O60" s="134" t="str">
        <f t="shared" ca="1" si="11"/>
        <v/>
      </c>
      <c r="P60" s="138"/>
      <c r="Q60" s="138"/>
      <c r="R60" s="134"/>
      <c r="S60" s="134"/>
      <c r="T60" s="134"/>
      <c r="U60" s="134"/>
      <c r="V60" s="134"/>
      <c r="W60" s="134"/>
      <c r="X60" s="134"/>
      <c r="Y60" s="134"/>
      <c r="Z60" s="139"/>
      <c r="AA60" s="134"/>
      <c r="AB60" s="134"/>
      <c r="AC60" s="134"/>
      <c r="AD60" s="134"/>
      <c r="AE60" s="134"/>
      <c r="AF60" s="134"/>
      <c r="AG60" s="134"/>
      <c r="AH60" s="137">
        <v>1</v>
      </c>
      <c r="AI60" s="13"/>
    </row>
    <row r="61" spans="1:35" s="142" customFormat="1" ht="30" customHeight="1" x14ac:dyDescent="0.25">
      <c r="A61" s="151">
        <v>55</v>
      </c>
      <c r="B61" s="133" t="str">
        <f t="shared" ca="1" si="6"/>
        <v>A.6</v>
      </c>
      <c r="C61" s="134">
        <f t="shared" ca="1" si="7"/>
        <v>2</v>
      </c>
      <c r="D61" s="20"/>
      <c r="E61" s="159" t="str">
        <f t="shared" ca="1" si="8"/>
        <v>Step 6</v>
      </c>
      <c r="F61" s="160" t="str">
        <f t="shared" ca="1" si="9"/>
        <v>Produce requirements specifications</v>
      </c>
      <c r="G61" s="160"/>
      <c r="H61" s="160"/>
      <c r="I61" s="160"/>
      <c r="J61" s="160"/>
      <c r="K61" s="160"/>
      <c r="L61" s="160"/>
      <c r="M61" s="160"/>
      <c r="N61" s="160" t="str">
        <f t="shared" ca="1" si="10"/>
        <v/>
      </c>
      <c r="O61" s="160" t="str">
        <f t="shared" ca="1" si="11"/>
        <v/>
      </c>
      <c r="P61" s="160"/>
      <c r="Q61" s="160"/>
      <c r="R61" s="160"/>
      <c r="S61" s="160"/>
      <c r="T61" s="160"/>
      <c r="U61" s="160"/>
      <c r="V61" s="160"/>
      <c r="W61" s="160"/>
      <c r="X61" s="160"/>
      <c r="Y61" s="160"/>
      <c r="Z61" s="160"/>
      <c r="AA61" s="160"/>
      <c r="AB61" s="160"/>
      <c r="AC61" s="160"/>
      <c r="AD61" s="160"/>
      <c r="AE61" s="160"/>
      <c r="AF61" s="160"/>
      <c r="AG61" s="160"/>
      <c r="AH61" s="141">
        <v>1</v>
      </c>
      <c r="AI61" s="13"/>
    </row>
    <row r="62" spans="1:35" s="142" customFormat="1" ht="30" customHeight="1" x14ac:dyDescent="0.25">
      <c r="A62" s="154">
        <v>56</v>
      </c>
      <c r="B62" s="133" t="str">
        <f t="shared" ca="1" si="6"/>
        <v>A.6.01</v>
      </c>
      <c r="C62" s="134">
        <f t="shared" ca="1" si="7"/>
        <v>5</v>
      </c>
      <c r="D62" s="20"/>
      <c r="E62" s="135" t="str">
        <f t="shared" ca="1" si="8"/>
        <v>A.6.01</v>
      </c>
      <c r="F62" s="157" t="str">
        <f t="shared" ca="1" si="9"/>
        <v>Do you define formal requirements for penetration testing carried out in your organisation?</v>
      </c>
      <c r="G62" s="134"/>
      <c r="H62" s="156"/>
      <c r="I62" s="158"/>
      <c r="J62" s="156"/>
      <c r="K62" s="156"/>
      <c r="L62" s="156"/>
      <c r="M62" s="156"/>
      <c r="N62" s="137" t="str">
        <f t="shared" ca="1" si="10"/>
        <v>x 1</v>
      </c>
      <c r="O62" s="137" t="str">
        <f t="shared" ca="1" si="11"/>
        <v/>
      </c>
      <c r="P62" s="138"/>
      <c r="Q62" s="138"/>
      <c r="R62" s="134"/>
      <c r="S62" s="134"/>
      <c r="T62" s="134"/>
      <c r="U62" s="134"/>
      <c r="V62" s="134"/>
      <c r="W62" s="134"/>
      <c r="X62" s="134"/>
      <c r="Y62" s="134"/>
      <c r="Z62" s="139"/>
      <c r="AA62" s="134"/>
      <c r="AB62" s="134"/>
      <c r="AC62" s="134"/>
      <c r="AD62" s="134"/>
      <c r="AE62" s="134"/>
      <c r="AF62" s="134"/>
      <c r="AG62" s="134"/>
      <c r="AH62" s="141">
        <v>1</v>
      </c>
      <c r="AI62" s="13"/>
    </row>
    <row r="63" spans="1:35" s="142" customFormat="1" ht="45" x14ac:dyDescent="0.25">
      <c r="A63" s="154">
        <v>57</v>
      </c>
      <c r="B63" s="133" t="str">
        <f t="shared" ca="1" si="6"/>
        <v>A.6.02</v>
      </c>
      <c r="C63" s="134">
        <f t="shared" ca="1" si="7"/>
        <v>5</v>
      </c>
      <c r="D63" s="20"/>
      <c r="E63" s="135" t="str">
        <f t="shared" ca="1" si="8"/>
        <v>A.6.02</v>
      </c>
      <c r="F63" s="157" t="str">
        <f t="shared" ca="1" si="9"/>
        <v>Do your requirements for penetration testing include consideration of any impact on important business applications, key systems and networks (IT infrastructure) and confidential data?</v>
      </c>
      <c r="G63" s="134"/>
      <c r="H63" s="156"/>
      <c r="I63" s="158"/>
      <c r="J63" s="156"/>
      <c r="K63" s="156"/>
      <c r="L63" s="156"/>
      <c r="M63" s="156"/>
      <c r="N63" s="137" t="str">
        <f t="shared" ca="1" si="10"/>
        <v>x 3</v>
      </c>
      <c r="O63" s="137" t="str">
        <f t="shared" ca="1" si="11"/>
        <v/>
      </c>
      <c r="P63" s="138"/>
      <c r="Q63" s="138"/>
      <c r="R63" s="134"/>
      <c r="S63" s="134"/>
      <c r="T63" s="134"/>
      <c r="U63" s="134"/>
      <c r="V63" s="134"/>
      <c r="W63" s="134"/>
      <c r="X63" s="134"/>
      <c r="Y63" s="134"/>
      <c r="Z63" s="139"/>
      <c r="AA63" s="134"/>
      <c r="AB63" s="134"/>
      <c r="AC63" s="134"/>
      <c r="AD63" s="134"/>
      <c r="AE63" s="134"/>
      <c r="AF63" s="134"/>
      <c r="AG63" s="134"/>
      <c r="AH63" s="141">
        <v>1</v>
      </c>
      <c r="AI63" s="13"/>
    </row>
    <row r="64" spans="1:35" s="142" customFormat="1" ht="45" x14ac:dyDescent="0.25">
      <c r="A64" s="154">
        <v>58</v>
      </c>
      <c r="B64" s="133" t="str">
        <f t="shared" ca="1" si="6"/>
        <v>A.6.03</v>
      </c>
      <c r="C64" s="134">
        <f t="shared" ca="1" si="7"/>
        <v>5</v>
      </c>
      <c r="D64" s="20"/>
      <c r="E64" s="135" t="str">
        <f t="shared" ca="1" si="8"/>
        <v>A.6.03</v>
      </c>
      <c r="F64" s="157" t="str">
        <f t="shared" ca="1" si="9"/>
        <v>Do your requirements for penetration testing specify that testers must validate that the test will be legal and that it will not compromise data protection requirements?</v>
      </c>
      <c r="G64" s="134"/>
      <c r="H64" s="156"/>
      <c r="I64" s="158"/>
      <c r="J64" s="156"/>
      <c r="K64" s="156"/>
      <c r="L64" s="156"/>
      <c r="M64" s="156"/>
      <c r="N64" s="137" t="str">
        <f t="shared" ca="1" si="10"/>
        <v>x 4</v>
      </c>
      <c r="O64" s="137" t="str">
        <f t="shared" ca="1" si="11"/>
        <v/>
      </c>
      <c r="P64" s="138"/>
      <c r="Q64" s="138"/>
      <c r="R64" s="134"/>
      <c r="S64" s="134"/>
      <c r="T64" s="134"/>
      <c r="U64" s="134"/>
      <c r="V64" s="134"/>
      <c r="W64" s="134"/>
      <c r="X64" s="134"/>
      <c r="Y64" s="134"/>
      <c r="Z64" s="139"/>
      <c r="AA64" s="134"/>
      <c r="AB64" s="134"/>
      <c r="AC64" s="134"/>
      <c r="AD64" s="134"/>
      <c r="AE64" s="134"/>
      <c r="AF64" s="134"/>
      <c r="AG64" s="134"/>
      <c r="AH64" s="141">
        <v>1</v>
      </c>
      <c r="AI64" s="13"/>
    </row>
    <row r="65" spans="1:35" s="142" customFormat="1" ht="60" x14ac:dyDescent="0.25">
      <c r="A65" s="154">
        <v>59</v>
      </c>
      <c r="B65" s="133" t="str">
        <f t="shared" ca="1" si="6"/>
        <v>A.6.04</v>
      </c>
      <c r="C65" s="134">
        <f t="shared" ca="1" si="7"/>
        <v>5</v>
      </c>
      <c r="D65" s="20"/>
      <c r="E65" s="135" t="str">
        <f t="shared" ca="1" si="8"/>
        <v>A.6.04</v>
      </c>
      <c r="F65" s="157" t="str">
        <f t="shared" ca="1" si="9"/>
        <v>Are your requirements for a penetration test formally recorded in a requirements specification, formulated by competent technical experts, reviewed and signed-off, monitored to ensure they are met and then reviewed / revised on a regular basis?</v>
      </c>
      <c r="G65" s="134"/>
      <c r="H65" s="156"/>
      <c r="I65" s="158"/>
      <c r="J65" s="156"/>
      <c r="K65" s="156"/>
      <c r="L65" s="156"/>
      <c r="M65" s="156"/>
      <c r="N65" s="137" t="str">
        <f t="shared" ca="1" si="10"/>
        <v>x 5</v>
      </c>
      <c r="O65" s="137" t="str">
        <f t="shared" ca="1" si="11"/>
        <v/>
      </c>
      <c r="P65" s="138"/>
      <c r="Q65" s="138"/>
      <c r="R65" s="134"/>
      <c r="S65" s="134"/>
      <c r="T65" s="134"/>
      <c r="U65" s="134"/>
      <c r="V65" s="134"/>
      <c r="W65" s="134"/>
      <c r="X65" s="134"/>
      <c r="Y65" s="134"/>
      <c r="Z65" s="139"/>
      <c r="AA65" s="134"/>
      <c r="AB65" s="134"/>
      <c r="AC65" s="134"/>
      <c r="AD65" s="134"/>
      <c r="AE65" s="134"/>
      <c r="AF65" s="134"/>
      <c r="AG65" s="134"/>
      <c r="AH65" s="141">
        <v>1</v>
      </c>
      <c r="AI65" s="13"/>
    </row>
    <row r="66" spans="1:35" s="142" customFormat="1" ht="30" customHeight="1" x14ac:dyDescent="0.25">
      <c r="A66" s="151">
        <v>60</v>
      </c>
      <c r="B66" s="133" t="str">
        <f t="shared" ca="1" si="6"/>
        <v>A.7</v>
      </c>
      <c r="C66" s="134">
        <f t="shared" ca="1" si="7"/>
        <v>2</v>
      </c>
      <c r="D66" s="20"/>
      <c r="E66" s="159" t="str">
        <f t="shared" ca="1" si="8"/>
        <v>Step 7</v>
      </c>
      <c r="F66" s="160" t="str">
        <f t="shared" ca="1" si="9"/>
        <v>Select suitable suppliers</v>
      </c>
      <c r="G66" s="160"/>
      <c r="H66" s="160"/>
      <c r="I66" s="160"/>
      <c r="J66" s="160"/>
      <c r="K66" s="160"/>
      <c r="L66" s="160"/>
      <c r="M66" s="160"/>
      <c r="N66" s="160" t="str">
        <f t="shared" ca="1" si="10"/>
        <v/>
      </c>
      <c r="O66" s="160" t="str">
        <f t="shared" ca="1" si="11"/>
        <v/>
      </c>
      <c r="P66" s="160"/>
      <c r="Q66" s="160"/>
      <c r="R66" s="160"/>
      <c r="S66" s="160"/>
      <c r="T66" s="160"/>
      <c r="U66" s="160"/>
      <c r="V66" s="160"/>
      <c r="W66" s="160"/>
      <c r="X66" s="160"/>
      <c r="Y66" s="160"/>
      <c r="Z66" s="160"/>
      <c r="AA66" s="160"/>
      <c r="AB66" s="160"/>
      <c r="AC66" s="160"/>
      <c r="AD66" s="160"/>
      <c r="AE66" s="160"/>
      <c r="AF66" s="160"/>
      <c r="AG66" s="160"/>
      <c r="AH66" s="141"/>
      <c r="AI66" s="13"/>
    </row>
    <row r="67" spans="1:35" s="142" customFormat="1" ht="30" customHeight="1" x14ac:dyDescent="0.25">
      <c r="A67" s="154">
        <v>61</v>
      </c>
      <c r="B67" s="133" t="str">
        <f t="shared" ca="1" si="6"/>
        <v>A.7.01</v>
      </c>
      <c r="C67" s="134">
        <f t="shared" ca="1" si="7"/>
        <v>5</v>
      </c>
      <c r="D67" s="20"/>
      <c r="E67" s="135" t="str">
        <f t="shared" ca="1" si="8"/>
        <v>A.7.01</v>
      </c>
      <c r="F67" s="157" t="str">
        <f t="shared" ca="1" si="9"/>
        <v>Do you appoint suitable third party suppliers to undertake independent penetration testing, based on defined requirements?</v>
      </c>
      <c r="G67" s="134"/>
      <c r="H67" s="156"/>
      <c r="I67" s="158"/>
      <c r="J67" s="156"/>
      <c r="K67" s="156"/>
      <c r="L67" s="156"/>
      <c r="M67" s="156"/>
      <c r="N67" s="137" t="str">
        <f t="shared" ca="1" si="10"/>
        <v>x 2</v>
      </c>
      <c r="O67" s="137" t="str">
        <f t="shared" ca="1" si="11"/>
        <v/>
      </c>
      <c r="P67" s="138"/>
      <c r="Q67" s="138"/>
      <c r="R67" s="134"/>
      <c r="S67" s="134"/>
      <c r="T67" s="134"/>
      <c r="U67" s="134"/>
      <c r="V67" s="134"/>
      <c r="W67" s="134"/>
      <c r="X67" s="134"/>
      <c r="Y67" s="134"/>
      <c r="Z67" s="139"/>
      <c r="AA67" s="134"/>
      <c r="AB67" s="134"/>
      <c r="AC67" s="134"/>
      <c r="AD67" s="134"/>
      <c r="AE67" s="134"/>
      <c r="AF67" s="134"/>
      <c r="AG67" s="134"/>
      <c r="AH67" s="141">
        <v>1</v>
      </c>
      <c r="AI67" s="13"/>
    </row>
    <row r="68" spans="1:35" s="142" customFormat="1" ht="60" x14ac:dyDescent="0.25">
      <c r="A68" s="154">
        <v>62</v>
      </c>
      <c r="B68" s="133" t="str">
        <f t="shared" ca="1" si="6"/>
        <v/>
      </c>
      <c r="C68" s="134">
        <f t="shared" ca="1" si="7"/>
        <v>3</v>
      </c>
      <c r="D68" s="20"/>
      <c r="E68" s="135" t="str">
        <f t="shared" ca="1" si="8"/>
        <v/>
      </c>
      <c r="F68" s="155" t="str">
        <f t="shared" ca="1" si="9"/>
        <v>Effective requirements for penetration testing suppliers are typically based on a cost / benefit analysis, driven by clear objectives, recorded in a requirements specification and integrated into an organisation’s procurement process.</v>
      </c>
      <c r="G68" s="155"/>
      <c r="H68" s="155"/>
      <c r="I68" s="155"/>
      <c r="J68" s="155"/>
      <c r="K68" s="155"/>
      <c r="L68" s="155"/>
      <c r="M68" s="155"/>
      <c r="N68" s="137" t="str">
        <f t="shared" ca="1" si="10"/>
        <v/>
      </c>
      <c r="O68" s="134" t="str">
        <f t="shared" ca="1" si="11"/>
        <v/>
      </c>
      <c r="P68" s="138"/>
      <c r="Q68" s="138"/>
      <c r="R68" s="134"/>
      <c r="S68" s="134"/>
      <c r="T68" s="134"/>
      <c r="U68" s="134"/>
      <c r="V68" s="134"/>
      <c r="W68" s="134"/>
      <c r="X68" s="134"/>
      <c r="Y68" s="134"/>
      <c r="Z68" s="139"/>
      <c r="AA68" s="134"/>
      <c r="AB68" s="134"/>
      <c r="AC68" s="134"/>
      <c r="AD68" s="134"/>
      <c r="AE68" s="134"/>
      <c r="AF68" s="134"/>
      <c r="AG68" s="134"/>
      <c r="AH68" s="137">
        <v>1</v>
      </c>
      <c r="AI68" s="13"/>
    </row>
    <row r="69" spans="1:35" s="142" customFormat="1" ht="30" customHeight="1" x14ac:dyDescent="0.25">
      <c r="A69" s="154">
        <v>63</v>
      </c>
      <c r="B69" s="133" t="str">
        <f t="shared" ca="1" si="6"/>
        <v>A.7.02</v>
      </c>
      <c r="C69" s="134">
        <f t="shared" ca="1" si="7"/>
        <v>5</v>
      </c>
      <c r="D69" s="20"/>
      <c r="E69" s="135" t="str">
        <f t="shared" ca="1" si="8"/>
        <v>A.7.02</v>
      </c>
      <c r="F69" s="157" t="str">
        <f t="shared" ca="1" si="9"/>
        <v>Do you evaluate the benefits of using external suppliers?</v>
      </c>
      <c r="G69" s="134"/>
      <c r="H69" s="156"/>
      <c r="I69" s="158"/>
      <c r="J69" s="156"/>
      <c r="K69" s="156"/>
      <c r="L69" s="156"/>
      <c r="M69" s="156"/>
      <c r="N69" s="137" t="str">
        <f t="shared" ca="1" si="10"/>
        <v>x 3</v>
      </c>
      <c r="O69" s="137" t="str">
        <f t="shared" ca="1" si="11"/>
        <v/>
      </c>
      <c r="P69" s="138"/>
      <c r="Q69" s="138"/>
      <c r="R69" s="134"/>
      <c r="S69" s="134"/>
      <c r="T69" s="134"/>
      <c r="U69" s="134"/>
      <c r="V69" s="134"/>
      <c r="W69" s="134"/>
      <c r="X69" s="134"/>
      <c r="Y69" s="134"/>
      <c r="Z69" s="139"/>
      <c r="AA69" s="134"/>
      <c r="AB69" s="134"/>
      <c r="AC69" s="134"/>
      <c r="AD69" s="134"/>
      <c r="AE69" s="134"/>
      <c r="AF69" s="134"/>
      <c r="AG69" s="134"/>
      <c r="AH69" s="141">
        <v>1</v>
      </c>
      <c r="AI69" s="13"/>
    </row>
    <row r="70" spans="1:35" s="142" customFormat="1" ht="105" x14ac:dyDescent="0.25">
      <c r="A70" s="154">
        <v>64</v>
      </c>
      <c r="B70" s="133" t="str">
        <f t="shared" ca="1" si="6"/>
        <v/>
      </c>
      <c r="C70" s="134">
        <f t="shared" ca="1" si="7"/>
        <v>3</v>
      </c>
      <c r="D70" s="20"/>
      <c r="E70" s="135" t="str">
        <f t="shared" ca="1" si="8"/>
        <v/>
      </c>
      <c r="F70" s="155" t="str">
        <f t="shared" ca="1" si="9"/>
        <v>When evaluating the benefits of using external suppliers, you should consider their ability to help you: deploy a structured process and plan, developed by experts; increase the scope and frequency of tests; conduct short term engagements, eliminating the need to employ your own specialised (and often expensive) staff; and take advantage of automation (e.g. by using penetration testing workflows and importing vulnerability management reports).</v>
      </c>
      <c r="G70" s="155"/>
      <c r="H70" s="155"/>
      <c r="I70" s="155"/>
      <c r="J70" s="155"/>
      <c r="K70" s="155"/>
      <c r="L70" s="155"/>
      <c r="M70" s="155"/>
      <c r="N70" s="137" t="str">
        <f t="shared" ca="1" si="10"/>
        <v/>
      </c>
      <c r="O70" s="134" t="str">
        <f t="shared" ca="1" si="11"/>
        <v/>
      </c>
      <c r="P70" s="138"/>
      <c r="Q70" s="138"/>
      <c r="R70" s="134"/>
      <c r="S70" s="134"/>
      <c r="T70" s="134"/>
      <c r="U70" s="134"/>
      <c r="V70" s="134"/>
      <c r="W70" s="134"/>
      <c r="X70" s="134"/>
      <c r="Y70" s="134"/>
      <c r="Z70" s="139"/>
      <c r="AA70" s="134"/>
      <c r="AB70" s="134"/>
      <c r="AC70" s="134"/>
      <c r="AD70" s="134"/>
      <c r="AE70" s="134"/>
      <c r="AF70" s="134"/>
      <c r="AG70" s="134"/>
      <c r="AH70" s="137">
        <v>1</v>
      </c>
      <c r="AI70" s="13"/>
    </row>
    <row r="71" spans="1:35" s="142" customFormat="1" ht="30" customHeight="1" x14ac:dyDescent="0.25">
      <c r="A71" s="154">
        <v>65</v>
      </c>
      <c r="B71" s="133" t="str">
        <f t="shared" ca="1" si="6"/>
        <v>A.7.03</v>
      </c>
      <c r="C71" s="134">
        <f t="shared" ca="1" si="7"/>
        <v>5</v>
      </c>
      <c r="D71" s="20"/>
      <c r="E71" s="135" t="str">
        <f t="shared" ca="1" si="8"/>
        <v>A.7.03</v>
      </c>
      <c r="F71" s="157" t="str">
        <f t="shared" ca="1" si="9"/>
        <v>Do you define selection criteria to help you choose suitable suppliers?</v>
      </c>
      <c r="G71" s="134"/>
      <c r="H71" s="156"/>
      <c r="I71" s="158"/>
      <c r="J71" s="156"/>
      <c r="K71" s="156"/>
      <c r="L71" s="156"/>
      <c r="M71" s="156"/>
      <c r="N71" s="137" t="str">
        <f t="shared" ca="1" si="10"/>
        <v>x 4</v>
      </c>
      <c r="O71" s="137" t="str">
        <f t="shared" ca="1" si="11"/>
        <v/>
      </c>
      <c r="P71" s="138"/>
      <c r="Q71" s="138"/>
      <c r="R71" s="134"/>
      <c r="S71" s="134"/>
      <c r="T71" s="134"/>
      <c r="U71" s="134"/>
      <c r="V71" s="134"/>
      <c r="W71" s="134"/>
      <c r="X71" s="134"/>
      <c r="Y71" s="134"/>
      <c r="Z71" s="139"/>
      <c r="AA71" s="134"/>
      <c r="AB71" s="134"/>
      <c r="AC71" s="134"/>
      <c r="AD71" s="134"/>
      <c r="AE71" s="134"/>
      <c r="AF71" s="134"/>
      <c r="AG71" s="134"/>
      <c r="AH71" s="141">
        <v>1</v>
      </c>
      <c r="AI71" s="13"/>
    </row>
    <row r="72" spans="1:35" s="142" customFormat="1" ht="135" x14ac:dyDescent="0.25">
      <c r="A72" s="154">
        <v>66</v>
      </c>
      <c r="B72" s="133" t="str">
        <f t="shared" ref="B72:B76" ca="1" si="12">VLOOKUP(A72,Contents_Text,2,FALSE)</f>
        <v/>
      </c>
      <c r="C72" s="134">
        <f t="shared" ca="1" si="7"/>
        <v>3</v>
      </c>
      <c r="D72" s="20"/>
      <c r="E72" s="135" t="str">
        <f t="shared" ca="1" si="8"/>
        <v/>
      </c>
      <c r="F72" s="155" t="str">
        <f t="shared" ca="1" si="9"/>
        <v>Effective supplier selection criteria typically specify that potential suppliers should be able to: provide a reliable, effective and proven penetration testing service; meet compliance standards; protect your information and systems both during and after testing; perform rigorous and effective penetration tests; adhere to a proven testing methodology; carry out a full range of testing, discover all major vulnerabilities, identifying associated ‘root causes’; produce insightful, practical and easy to read reports; provide on-going advice on how to manage systems effectively over time as part of a trusted relationship.</v>
      </c>
      <c r="G72" s="155"/>
      <c r="H72" s="155"/>
      <c r="I72" s="155"/>
      <c r="J72" s="155"/>
      <c r="K72" s="155"/>
      <c r="L72" s="155"/>
      <c r="M72" s="155"/>
      <c r="N72" s="137" t="str">
        <f t="shared" ca="1" si="10"/>
        <v/>
      </c>
      <c r="O72" s="134" t="str">
        <f t="shared" ca="1" si="11"/>
        <v/>
      </c>
      <c r="P72" s="138"/>
      <c r="Q72" s="138"/>
      <c r="R72" s="134"/>
      <c r="S72" s="134"/>
      <c r="T72" s="134"/>
      <c r="U72" s="134"/>
      <c r="V72" s="134"/>
      <c r="W72" s="134"/>
      <c r="X72" s="134"/>
      <c r="Y72" s="134"/>
      <c r="Z72" s="139"/>
      <c r="AA72" s="134"/>
      <c r="AB72" s="134"/>
      <c r="AC72" s="134"/>
      <c r="AD72" s="134"/>
      <c r="AE72" s="134"/>
      <c r="AF72" s="134"/>
      <c r="AG72" s="134"/>
      <c r="AH72" s="137">
        <v>1</v>
      </c>
      <c r="AI72" s="13"/>
    </row>
    <row r="73" spans="1:35" s="142" customFormat="1" ht="75" x14ac:dyDescent="0.25">
      <c r="A73" s="154">
        <v>67</v>
      </c>
      <c r="B73" s="133" t="str">
        <f t="shared" ca="1" si="12"/>
        <v>A.7.04</v>
      </c>
      <c r="C73" s="134">
        <f t="shared" ca="1" si="7"/>
        <v>5</v>
      </c>
      <c r="D73" s="20"/>
      <c r="E73" s="135" t="str">
        <f t="shared" ca="1" si="8"/>
        <v>A.7.04</v>
      </c>
      <c r="F73" s="157" t="str">
        <f t="shared" ca="1" si="9"/>
        <v>Does your selection criteria consider if potential suppliers can provide: solid reputation, history and ethics; high quality, value-for-money services; research and development capability; highly competent, technical testers; and security and risk management, supported by a strong professional accreditation and complaint process?</v>
      </c>
      <c r="G73" s="134"/>
      <c r="H73" s="156"/>
      <c r="I73" s="158"/>
      <c r="J73" s="156"/>
      <c r="K73" s="156"/>
      <c r="L73" s="156"/>
      <c r="M73" s="156"/>
      <c r="N73" s="137" t="str">
        <f t="shared" ca="1" si="10"/>
        <v>x 5</v>
      </c>
      <c r="O73" s="137" t="str">
        <f t="shared" ca="1" si="11"/>
        <v/>
      </c>
      <c r="P73" s="138"/>
      <c r="Q73" s="138"/>
      <c r="R73" s="134"/>
      <c r="S73" s="134"/>
      <c r="T73" s="134"/>
      <c r="U73" s="134"/>
      <c r="V73" s="134"/>
      <c r="W73" s="134"/>
      <c r="X73" s="134"/>
      <c r="Y73" s="134"/>
      <c r="Z73" s="139"/>
      <c r="AA73" s="134"/>
      <c r="AB73" s="134"/>
      <c r="AC73" s="134"/>
      <c r="AD73" s="134"/>
      <c r="AE73" s="134"/>
      <c r="AF73" s="134"/>
      <c r="AG73" s="134"/>
      <c r="AH73" s="141">
        <v>1</v>
      </c>
      <c r="AI73" s="13"/>
    </row>
    <row r="74" spans="1:35" s="142" customFormat="1" ht="45" x14ac:dyDescent="0.25">
      <c r="A74" s="154">
        <v>68</v>
      </c>
      <c r="B74" s="133" t="str">
        <f t="shared" ca="1" si="12"/>
        <v>A.7.05</v>
      </c>
      <c r="C74" s="134">
        <f t="shared" ca="1" si="7"/>
        <v>5</v>
      </c>
      <c r="D74" s="20"/>
      <c r="E74" s="135" t="str">
        <f t="shared" ca="1" si="8"/>
        <v>A.7.05</v>
      </c>
      <c r="F74" s="157" t="str">
        <f t="shared" ca="1" si="9"/>
        <v>Do you ensure that your chosen suppliers are able to effectively meet – or exceed - your supplier selection criteria and provide tangible value for money?</v>
      </c>
      <c r="G74" s="134"/>
      <c r="H74" s="156"/>
      <c r="I74" s="158"/>
      <c r="J74" s="156"/>
      <c r="K74" s="156"/>
      <c r="L74" s="156"/>
      <c r="M74" s="156"/>
      <c r="N74" s="137" t="str">
        <f t="shared" ca="1" si="10"/>
        <v>x 3</v>
      </c>
      <c r="O74" s="137" t="str">
        <f t="shared" ca="1" si="11"/>
        <v/>
      </c>
      <c r="P74" s="138"/>
      <c r="Q74" s="138"/>
      <c r="R74" s="134"/>
      <c r="S74" s="134"/>
      <c r="T74" s="134"/>
      <c r="U74" s="134"/>
      <c r="V74" s="134"/>
      <c r="W74" s="134"/>
      <c r="X74" s="134"/>
      <c r="Y74" s="134"/>
      <c r="Z74" s="139"/>
      <c r="AA74" s="134"/>
      <c r="AB74" s="134"/>
      <c r="AC74" s="134"/>
      <c r="AD74" s="134"/>
      <c r="AE74" s="134"/>
      <c r="AF74" s="134"/>
      <c r="AG74" s="134"/>
      <c r="AH74" s="141">
        <v>1</v>
      </c>
      <c r="AI74" s="13"/>
    </row>
    <row r="75" spans="1:35" s="142" customFormat="1" ht="45" x14ac:dyDescent="0.25">
      <c r="A75" s="154">
        <v>69</v>
      </c>
      <c r="B75" s="133" t="str">
        <f t="shared" ca="1" si="12"/>
        <v>A.7.06</v>
      </c>
      <c r="C75" s="134">
        <f t="shared" ca="1" si="7"/>
        <v>5</v>
      </c>
      <c r="D75" s="20"/>
      <c r="E75" s="135" t="str">
        <f t="shared" ca="1" si="8"/>
        <v>A.7.06</v>
      </c>
      <c r="F75" s="157" t="str">
        <f t="shared" ca="1" si="9"/>
        <v>Do you validate the ability of potential suppliers to meet your specific requirements (not just one who can offer a variety of often impressive products and services, some of which may not necessarily be relevant)?</v>
      </c>
      <c r="G75" s="134"/>
      <c r="H75" s="156"/>
      <c r="I75" s="158"/>
      <c r="J75" s="156"/>
      <c r="K75" s="156"/>
      <c r="L75" s="156"/>
      <c r="M75" s="156"/>
      <c r="N75" s="137" t="str">
        <f t="shared" ca="1" si="10"/>
        <v>x 4</v>
      </c>
      <c r="O75" s="137" t="str">
        <f t="shared" ca="1" si="11"/>
        <v/>
      </c>
      <c r="P75" s="138"/>
      <c r="Q75" s="138"/>
      <c r="R75" s="134"/>
      <c r="S75" s="134"/>
      <c r="T75" s="134"/>
      <c r="U75" s="134"/>
      <c r="V75" s="134"/>
      <c r="W75" s="134"/>
      <c r="X75" s="134"/>
      <c r="Y75" s="134"/>
      <c r="Z75" s="139"/>
      <c r="AA75" s="134"/>
      <c r="AB75" s="134"/>
      <c r="AC75" s="134"/>
      <c r="AD75" s="134"/>
      <c r="AE75" s="134"/>
      <c r="AF75" s="134"/>
      <c r="AG75" s="134"/>
      <c r="AH75" s="141">
        <v>1</v>
      </c>
      <c r="AI75" s="13"/>
    </row>
    <row r="76" spans="1:35" s="142" customFormat="1" ht="30" customHeight="1" x14ac:dyDescent="0.25">
      <c r="A76" s="154">
        <v>70</v>
      </c>
      <c r="B76" s="133" t="str">
        <f t="shared" ca="1" si="12"/>
        <v>A.7.07</v>
      </c>
      <c r="C76" s="134">
        <f t="shared" ca="1" si="7"/>
        <v>5</v>
      </c>
      <c r="D76" s="20"/>
      <c r="E76" s="135" t="str">
        <f t="shared" ca="1" si="8"/>
        <v>A.7.07</v>
      </c>
      <c r="F76" s="157" t="str">
        <f t="shared" ca="1" si="9"/>
        <v>Do you go through a formal, approved appointment process for selected penetration testing suppliers?</v>
      </c>
      <c r="G76" s="134"/>
      <c r="H76" s="156"/>
      <c r="I76" s="158"/>
      <c r="J76" s="156"/>
      <c r="K76" s="156"/>
      <c r="L76" s="156"/>
      <c r="M76" s="156"/>
      <c r="N76" s="137" t="str">
        <f t="shared" ca="1" si="10"/>
        <v>x 3</v>
      </c>
      <c r="O76" s="137" t="str">
        <f t="shared" ca="1" si="11"/>
        <v/>
      </c>
      <c r="P76" s="138"/>
      <c r="Q76" s="138"/>
      <c r="R76" s="134"/>
      <c r="S76" s="134"/>
      <c r="T76" s="134"/>
      <c r="U76" s="134"/>
      <c r="V76" s="134"/>
      <c r="W76" s="134"/>
      <c r="X76" s="134"/>
      <c r="Y76" s="134"/>
      <c r="Z76" s="139"/>
      <c r="AA76" s="134"/>
      <c r="AB76" s="134"/>
      <c r="AC76" s="134"/>
      <c r="AD76" s="134"/>
      <c r="AE76" s="134"/>
      <c r="AF76" s="134"/>
      <c r="AG76" s="134"/>
      <c r="AH76" s="141">
        <v>1</v>
      </c>
      <c r="AI76" s="13"/>
    </row>
  </sheetData>
  <sheetProtection algorithmName="SHA-512" hashValue="eDaeiWRbOQFIpjGuJQ58rR8tkweS4GxvN1S3LVE5huuE9cNSCvqr/kWy3XuzWDLqKf7IHduSMrK7YDW0W291ZA==" saltValue="xTfk87x3sGSGPUJM8QU3iA==" spinCount="100000" sheet="1" objects="1" scenarios="1"/>
  <sortState xmlns:xlrd2="http://schemas.microsoft.com/office/spreadsheetml/2017/richdata2" ref="A8:AI76">
    <sortCondition ref="A8:A76"/>
  </sortState>
  <dataConsolidate/>
  <mergeCells count="1">
    <mergeCell ref="F2:F5"/>
  </mergeCells>
  <conditionalFormatting sqref="H33:M33">
    <cfRule type="expression" dxfId="13" priority="15" stopIfTrue="1">
      <formula>$C33=2</formula>
    </cfRule>
    <cfRule type="expression" dxfId="12" priority="16">
      <formula>$C33&gt;4</formula>
    </cfRule>
  </conditionalFormatting>
  <conditionalFormatting sqref="H34:M76">
    <cfRule type="expression" dxfId="11" priority="1" stopIfTrue="1">
      <formula>$C34=2</formula>
    </cfRule>
    <cfRule type="expression" dxfId="10" priority="2">
      <formula>$C34&gt;4</formula>
    </cfRule>
  </conditionalFormatting>
  <dataValidations count="1">
    <dataValidation type="custom" allowBlank="1" sqref="G29:M76" xr:uid="{00000000-0002-0000-0900-000000000000}">
      <formula1>"""X"""</formula1>
    </dataValidation>
  </dataValidations>
  <pageMargins left="0.7" right="0.7" top="0.75" bottom="0.75" header="0.3" footer="0.3"/>
  <pageSetup paperSize="9" scale="38"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29047" r:id="rId4" name="Drop Down 23">
              <controlPr locked="0" defaultSize="0" autoFill="0" autoPict="0">
                <anchor moveWithCells="1">
                  <from>
                    <xdr:col>6</xdr:col>
                    <xdr:colOff>400050</xdr:colOff>
                    <xdr:row>10</xdr:row>
                    <xdr:rowOff>76200</xdr:rowOff>
                  </from>
                  <to>
                    <xdr:col>6</xdr:col>
                    <xdr:colOff>1638300</xdr:colOff>
                    <xdr:row>10</xdr:row>
                    <xdr:rowOff>304800</xdr:rowOff>
                  </to>
                </anchor>
              </controlPr>
            </control>
          </mc:Choice>
        </mc:AlternateContent>
        <mc:AlternateContent xmlns:mc="http://schemas.openxmlformats.org/markup-compatibility/2006">
          <mc:Choice Requires="x14">
            <control shapeId="129048" r:id="rId5" name="Drop Down 24">
              <controlPr locked="0" defaultSize="0" autoFill="0" autoPict="0">
                <anchor moveWithCells="1">
                  <from>
                    <xdr:col>6</xdr:col>
                    <xdr:colOff>400050</xdr:colOff>
                    <xdr:row>11</xdr:row>
                    <xdr:rowOff>76200</xdr:rowOff>
                  </from>
                  <to>
                    <xdr:col>6</xdr:col>
                    <xdr:colOff>1638300</xdr:colOff>
                    <xdr:row>11</xdr:row>
                    <xdr:rowOff>304800</xdr:rowOff>
                  </to>
                </anchor>
              </controlPr>
            </control>
          </mc:Choice>
        </mc:AlternateContent>
        <mc:AlternateContent xmlns:mc="http://schemas.openxmlformats.org/markup-compatibility/2006">
          <mc:Choice Requires="x14">
            <control shapeId="129049" r:id="rId6" name="Drop Down 25">
              <controlPr locked="0" defaultSize="0" autoFill="0" autoPict="0">
                <anchor moveWithCells="1">
                  <from>
                    <xdr:col>6</xdr:col>
                    <xdr:colOff>400050</xdr:colOff>
                    <xdr:row>12</xdr:row>
                    <xdr:rowOff>76200</xdr:rowOff>
                  </from>
                  <to>
                    <xdr:col>6</xdr:col>
                    <xdr:colOff>1638300</xdr:colOff>
                    <xdr:row>12</xdr:row>
                    <xdr:rowOff>304800</xdr:rowOff>
                  </to>
                </anchor>
              </controlPr>
            </control>
          </mc:Choice>
        </mc:AlternateContent>
        <mc:AlternateContent xmlns:mc="http://schemas.openxmlformats.org/markup-compatibility/2006">
          <mc:Choice Requires="x14">
            <control shapeId="129050" r:id="rId7" name="Drop Down 26">
              <controlPr locked="0" defaultSize="0" autoFill="0" autoPict="0">
                <anchor moveWithCells="1">
                  <from>
                    <xdr:col>6</xdr:col>
                    <xdr:colOff>400050</xdr:colOff>
                    <xdr:row>14</xdr:row>
                    <xdr:rowOff>76200</xdr:rowOff>
                  </from>
                  <to>
                    <xdr:col>6</xdr:col>
                    <xdr:colOff>1638300</xdr:colOff>
                    <xdr:row>14</xdr:row>
                    <xdr:rowOff>304800</xdr:rowOff>
                  </to>
                </anchor>
              </controlPr>
            </control>
          </mc:Choice>
        </mc:AlternateContent>
        <mc:AlternateContent xmlns:mc="http://schemas.openxmlformats.org/markup-compatibility/2006">
          <mc:Choice Requires="x14">
            <control shapeId="129051" r:id="rId8" name="Drop Down 27">
              <controlPr locked="0" defaultSize="0" autoFill="0" autoPict="0">
                <anchor moveWithCells="1">
                  <from>
                    <xdr:col>6</xdr:col>
                    <xdr:colOff>400050</xdr:colOff>
                    <xdr:row>15</xdr:row>
                    <xdr:rowOff>76200</xdr:rowOff>
                  </from>
                  <to>
                    <xdr:col>6</xdr:col>
                    <xdr:colOff>1638300</xdr:colOff>
                    <xdr:row>15</xdr:row>
                    <xdr:rowOff>304800</xdr:rowOff>
                  </to>
                </anchor>
              </controlPr>
            </control>
          </mc:Choice>
        </mc:AlternateContent>
        <mc:AlternateContent xmlns:mc="http://schemas.openxmlformats.org/markup-compatibility/2006">
          <mc:Choice Requires="x14">
            <control shapeId="129052" r:id="rId9" name="Drop Down 28">
              <controlPr locked="0" defaultSize="0" autoFill="0" autoPict="0">
                <anchor moveWithCells="1">
                  <from>
                    <xdr:col>6</xdr:col>
                    <xdr:colOff>400050</xdr:colOff>
                    <xdr:row>18</xdr:row>
                    <xdr:rowOff>76200</xdr:rowOff>
                  </from>
                  <to>
                    <xdr:col>6</xdr:col>
                    <xdr:colOff>1638300</xdr:colOff>
                    <xdr:row>18</xdr:row>
                    <xdr:rowOff>304800</xdr:rowOff>
                  </to>
                </anchor>
              </controlPr>
            </control>
          </mc:Choice>
        </mc:AlternateContent>
        <mc:AlternateContent xmlns:mc="http://schemas.openxmlformats.org/markup-compatibility/2006">
          <mc:Choice Requires="x14">
            <control shapeId="129053" r:id="rId10" name="Drop Down 29">
              <controlPr locked="0" defaultSize="0" autoFill="0" autoPict="0">
                <anchor moveWithCells="1">
                  <from>
                    <xdr:col>6</xdr:col>
                    <xdr:colOff>400050</xdr:colOff>
                    <xdr:row>20</xdr:row>
                    <xdr:rowOff>76200</xdr:rowOff>
                  </from>
                  <to>
                    <xdr:col>6</xdr:col>
                    <xdr:colOff>1638300</xdr:colOff>
                    <xdr:row>20</xdr:row>
                    <xdr:rowOff>304800</xdr:rowOff>
                  </to>
                </anchor>
              </controlPr>
            </control>
          </mc:Choice>
        </mc:AlternateContent>
        <mc:AlternateContent xmlns:mc="http://schemas.openxmlformats.org/markup-compatibility/2006">
          <mc:Choice Requires="x14">
            <control shapeId="129054" r:id="rId11" name="Drop Down 30">
              <controlPr locked="0" defaultSize="0" autoFill="0" autoPict="0">
                <anchor moveWithCells="1">
                  <from>
                    <xdr:col>6</xdr:col>
                    <xdr:colOff>400050</xdr:colOff>
                    <xdr:row>22</xdr:row>
                    <xdr:rowOff>76200</xdr:rowOff>
                  </from>
                  <to>
                    <xdr:col>6</xdr:col>
                    <xdr:colOff>1638300</xdr:colOff>
                    <xdr:row>22</xdr:row>
                    <xdr:rowOff>304800</xdr:rowOff>
                  </to>
                </anchor>
              </controlPr>
            </control>
          </mc:Choice>
        </mc:AlternateContent>
        <mc:AlternateContent xmlns:mc="http://schemas.openxmlformats.org/markup-compatibility/2006">
          <mc:Choice Requires="x14">
            <control shapeId="129055" r:id="rId12" name="Drop Down 31">
              <controlPr locked="0" defaultSize="0" autoFill="0" autoPict="0">
                <anchor moveWithCells="1">
                  <from>
                    <xdr:col>6</xdr:col>
                    <xdr:colOff>400050</xdr:colOff>
                    <xdr:row>23</xdr:row>
                    <xdr:rowOff>76200</xdr:rowOff>
                  </from>
                  <to>
                    <xdr:col>6</xdr:col>
                    <xdr:colOff>1638300</xdr:colOff>
                    <xdr:row>23</xdr:row>
                    <xdr:rowOff>304800</xdr:rowOff>
                  </to>
                </anchor>
              </controlPr>
            </control>
          </mc:Choice>
        </mc:AlternateContent>
        <mc:AlternateContent xmlns:mc="http://schemas.openxmlformats.org/markup-compatibility/2006">
          <mc:Choice Requires="x14">
            <control shapeId="129056" r:id="rId13" name="Drop Down 32">
              <controlPr locked="0" defaultSize="0" autoFill="0" autoPict="0">
                <anchor moveWithCells="1">
                  <from>
                    <xdr:col>6</xdr:col>
                    <xdr:colOff>400050</xdr:colOff>
                    <xdr:row>24</xdr:row>
                    <xdr:rowOff>76200</xdr:rowOff>
                  </from>
                  <to>
                    <xdr:col>6</xdr:col>
                    <xdr:colOff>1638300</xdr:colOff>
                    <xdr:row>24</xdr:row>
                    <xdr:rowOff>304800</xdr:rowOff>
                  </to>
                </anchor>
              </controlPr>
            </control>
          </mc:Choice>
        </mc:AlternateContent>
        <mc:AlternateContent xmlns:mc="http://schemas.openxmlformats.org/markup-compatibility/2006">
          <mc:Choice Requires="x14">
            <control shapeId="129057" r:id="rId14" name="Drop Down 33">
              <controlPr locked="0" defaultSize="0" autoFill="0" autoPict="0">
                <anchor moveWithCells="1">
                  <from>
                    <xdr:col>6</xdr:col>
                    <xdr:colOff>400050</xdr:colOff>
                    <xdr:row>25</xdr:row>
                    <xdr:rowOff>76200</xdr:rowOff>
                  </from>
                  <to>
                    <xdr:col>6</xdr:col>
                    <xdr:colOff>1638300</xdr:colOff>
                    <xdr:row>25</xdr:row>
                    <xdr:rowOff>304800</xdr:rowOff>
                  </to>
                </anchor>
              </controlPr>
            </control>
          </mc:Choice>
        </mc:AlternateContent>
        <mc:AlternateContent xmlns:mc="http://schemas.openxmlformats.org/markup-compatibility/2006">
          <mc:Choice Requires="x14">
            <control shapeId="129058" r:id="rId15" name="Drop Down 34">
              <controlPr locked="0" defaultSize="0" autoFill="0" autoPict="0">
                <anchor moveWithCells="1">
                  <from>
                    <xdr:col>6</xdr:col>
                    <xdr:colOff>400050</xdr:colOff>
                    <xdr:row>26</xdr:row>
                    <xdr:rowOff>76200</xdr:rowOff>
                  </from>
                  <to>
                    <xdr:col>6</xdr:col>
                    <xdr:colOff>1638300</xdr:colOff>
                    <xdr:row>26</xdr:row>
                    <xdr:rowOff>304800</xdr:rowOff>
                  </to>
                </anchor>
              </controlPr>
            </control>
          </mc:Choice>
        </mc:AlternateContent>
        <mc:AlternateContent xmlns:mc="http://schemas.openxmlformats.org/markup-compatibility/2006">
          <mc:Choice Requires="x14">
            <control shapeId="129059" r:id="rId16" name="Drop Down 35">
              <controlPr locked="0" defaultSize="0" autoFill="0" autoPict="0">
                <anchor moveWithCells="1">
                  <from>
                    <xdr:col>6</xdr:col>
                    <xdr:colOff>400050</xdr:colOff>
                    <xdr:row>27</xdr:row>
                    <xdr:rowOff>76200</xdr:rowOff>
                  </from>
                  <to>
                    <xdr:col>6</xdr:col>
                    <xdr:colOff>1638300</xdr:colOff>
                    <xdr:row>27</xdr:row>
                    <xdr:rowOff>304800</xdr:rowOff>
                  </to>
                </anchor>
              </controlPr>
            </control>
          </mc:Choice>
        </mc:AlternateContent>
        <mc:AlternateContent xmlns:mc="http://schemas.openxmlformats.org/markup-compatibility/2006">
          <mc:Choice Requires="x14">
            <control shapeId="129060" r:id="rId17" name="Drop Down 36">
              <controlPr locked="0" defaultSize="0" autoFill="0" autoPict="0">
                <anchor moveWithCells="1">
                  <from>
                    <xdr:col>6</xdr:col>
                    <xdr:colOff>400050</xdr:colOff>
                    <xdr:row>30</xdr:row>
                    <xdr:rowOff>76200</xdr:rowOff>
                  </from>
                  <to>
                    <xdr:col>6</xdr:col>
                    <xdr:colOff>1638300</xdr:colOff>
                    <xdr:row>30</xdr:row>
                    <xdr:rowOff>304800</xdr:rowOff>
                  </to>
                </anchor>
              </controlPr>
            </control>
          </mc:Choice>
        </mc:AlternateContent>
        <mc:AlternateContent xmlns:mc="http://schemas.openxmlformats.org/markup-compatibility/2006">
          <mc:Choice Requires="x14">
            <control shapeId="129061" r:id="rId18" name="Drop Down 37">
              <controlPr locked="0" defaultSize="0" autoFill="0" autoPict="0">
                <anchor moveWithCells="1">
                  <from>
                    <xdr:col>6</xdr:col>
                    <xdr:colOff>400050</xdr:colOff>
                    <xdr:row>31</xdr:row>
                    <xdr:rowOff>76200</xdr:rowOff>
                  </from>
                  <to>
                    <xdr:col>6</xdr:col>
                    <xdr:colOff>1638300</xdr:colOff>
                    <xdr:row>31</xdr:row>
                    <xdr:rowOff>304800</xdr:rowOff>
                  </to>
                </anchor>
              </controlPr>
            </control>
          </mc:Choice>
        </mc:AlternateContent>
        <mc:AlternateContent xmlns:mc="http://schemas.openxmlformats.org/markup-compatibility/2006">
          <mc:Choice Requires="x14">
            <control shapeId="129062" r:id="rId19" name="Drop Down 38">
              <controlPr locked="0" defaultSize="0" autoFill="0" autoPict="0">
                <anchor moveWithCells="1">
                  <from>
                    <xdr:col>6</xdr:col>
                    <xdr:colOff>400050</xdr:colOff>
                    <xdr:row>33</xdr:row>
                    <xdr:rowOff>76200</xdr:rowOff>
                  </from>
                  <to>
                    <xdr:col>6</xdr:col>
                    <xdr:colOff>1638300</xdr:colOff>
                    <xdr:row>33</xdr:row>
                    <xdr:rowOff>304800</xdr:rowOff>
                  </to>
                </anchor>
              </controlPr>
            </control>
          </mc:Choice>
        </mc:AlternateContent>
        <mc:AlternateContent xmlns:mc="http://schemas.openxmlformats.org/markup-compatibility/2006">
          <mc:Choice Requires="x14">
            <control shapeId="129063" r:id="rId20" name="Drop Down 39">
              <controlPr locked="0" defaultSize="0" autoFill="0" autoPict="0">
                <anchor moveWithCells="1">
                  <from>
                    <xdr:col>6</xdr:col>
                    <xdr:colOff>400050</xdr:colOff>
                    <xdr:row>34</xdr:row>
                    <xdr:rowOff>76200</xdr:rowOff>
                  </from>
                  <to>
                    <xdr:col>6</xdr:col>
                    <xdr:colOff>1638300</xdr:colOff>
                    <xdr:row>34</xdr:row>
                    <xdr:rowOff>304800</xdr:rowOff>
                  </to>
                </anchor>
              </controlPr>
            </control>
          </mc:Choice>
        </mc:AlternateContent>
        <mc:AlternateContent xmlns:mc="http://schemas.openxmlformats.org/markup-compatibility/2006">
          <mc:Choice Requires="x14">
            <control shapeId="129064" r:id="rId21" name="Drop Down 40">
              <controlPr locked="0" defaultSize="0" autoFill="0" autoPict="0">
                <anchor moveWithCells="1">
                  <from>
                    <xdr:col>6</xdr:col>
                    <xdr:colOff>400050</xdr:colOff>
                    <xdr:row>35</xdr:row>
                    <xdr:rowOff>76200</xdr:rowOff>
                  </from>
                  <to>
                    <xdr:col>6</xdr:col>
                    <xdr:colOff>1638300</xdr:colOff>
                    <xdr:row>35</xdr:row>
                    <xdr:rowOff>304800</xdr:rowOff>
                  </to>
                </anchor>
              </controlPr>
            </control>
          </mc:Choice>
        </mc:AlternateContent>
        <mc:AlternateContent xmlns:mc="http://schemas.openxmlformats.org/markup-compatibility/2006">
          <mc:Choice Requires="x14">
            <control shapeId="129065" r:id="rId22" name="Drop Down 41">
              <controlPr locked="0" defaultSize="0" autoFill="0" autoPict="0">
                <anchor moveWithCells="1">
                  <from>
                    <xdr:col>6</xdr:col>
                    <xdr:colOff>400050</xdr:colOff>
                    <xdr:row>36</xdr:row>
                    <xdr:rowOff>76200</xdr:rowOff>
                  </from>
                  <to>
                    <xdr:col>6</xdr:col>
                    <xdr:colOff>1638300</xdr:colOff>
                    <xdr:row>36</xdr:row>
                    <xdr:rowOff>304800</xdr:rowOff>
                  </to>
                </anchor>
              </controlPr>
            </control>
          </mc:Choice>
        </mc:AlternateContent>
        <mc:AlternateContent xmlns:mc="http://schemas.openxmlformats.org/markup-compatibility/2006">
          <mc:Choice Requires="x14">
            <control shapeId="129066" r:id="rId23" name="Drop Down 42">
              <controlPr locked="0" defaultSize="0" autoFill="0" autoPict="0">
                <anchor moveWithCells="1">
                  <from>
                    <xdr:col>6</xdr:col>
                    <xdr:colOff>400050</xdr:colOff>
                    <xdr:row>38</xdr:row>
                    <xdr:rowOff>76200</xdr:rowOff>
                  </from>
                  <to>
                    <xdr:col>6</xdr:col>
                    <xdr:colOff>1638300</xdr:colOff>
                    <xdr:row>38</xdr:row>
                    <xdr:rowOff>304800</xdr:rowOff>
                  </to>
                </anchor>
              </controlPr>
            </control>
          </mc:Choice>
        </mc:AlternateContent>
        <mc:AlternateContent xmlns:mc="http://schemas.openxmlformats.org/markup-compatibility/2006">
          <mc:Choice Requires="x14">
            <control shapeId="129067" r:id="rId24" name="Drop Down 43">
              <controlPr locked="0" defaultSize="0" autoFill="0" autoPict="0">
                <anchor moveWithCells="1">
                  <from>
                    <xdr:col>6</xdr:col>
                    <xdr:colOff>400050</xdr:colOff>
                    <xdr:row>39</xdr:row>
                    <xdr:rowOff>76200</xdr:rowOff>
                  </from>
                  <to>
                    <xdr:col>6</xdr:col>
                    <xdr:colOff>1638300</xdr:colOff>
                    <xdr:row>39</xdr:row>
                    <xdr:rowOff>304800</xdr:rowOff>
                  </to>
                </anchor>
              </controlPr>
            </control>
          </mc:Choice>
        </mc:AlternateContent>
        <mc:AlternateContent xmlns:mc="http://schemas.openxmlformats.org/markup-compatibility/2006">
          <mc:Choice Requires="x14">
            <control shapeId="129068" r:id="rId25" name="Drop Down 44">
              <controlPr locked="0" defaultSize="0" autoFill="0" autoPict="0">
                <anchor moveWithCells="1">
                  <from>
                    <xdr:col>6</xdr:col>
                    <xdr:colOff>400050</xdr:colOff>
                    <xdr:row>40</xdr:row>
                    <xdr:rowOff>76200</xdr:rowOff>
                  </from>
                  <to>
                    <xdr:col>6</xdr:col>
                    <xdr:colOff>1638300</xdr:colOff>
                    <xdr:row>40</xdr:row>
                    <xdr:rowOff>304800</xdr:rowOff>
                  </to>
                </anchor>
              </controlPr>
            </control>
          </mc:Choice>
        </mc:AlternateContent>
        <mc:AlternateContent xmlns:mc="http://schemas.openxmlformats.org/markup-compatibility/2006">
          <mc:Choice Requires="x14">
            <control shapeId="129069" r:id="rId26" name="Drop Down 45">
              <controlPr locked="0" defaultSize="0" autoFill="0" autoPict="0">
                <anchor moveWithCells="1">
                  <from>
                    <xdr:col>6</xdr:col>
                    <xdr:colOff>400050</xdr:colOff>
                    <xdr:row>41</xdr:row>
                    <xdr:rowOff>76200</xdr:rowOff>
                  </from>
                  <to>
                    <xdr:col>6</xdr:col>
                    <xdr:colOff>1638300</xdr:colOff>
                    <xdr:row>41</xdr:row>
                    <xdr:rowOff>304800</xdr:rowOff>
                  </to>
                </anchor>
              </controlPr>
            </control>
          </mc:Choice>
        </mc:AlternateContent>
        <mc:AlternateContent xmlns:mc="http://schemas.openxmlformats.org/markup-compatibility/2006">
          <mc:Choice Requires="x14">
            <control shapeId="129070" r:id="rId27" name="Drop Down 46">
              <controlPr locked="0" defaultSize="0" autoFill="0" autoPict="0">
                <anchor moveWithCells="1">
                  <from>
                    <xdr:col>6</xdr:col>
                    <xdr:colOff>400050</xdr:colOff>
                    <xdr:row>42</xdr:row>
                    <xdr:rowOff>76200</xdr:rowOff>
                  </from>
                  <to>
                    <xdr:col>6</xdr:col>
                    <xdr:colOff>1638300</xdr:colOff>
                    <xdr:row>42</xdr:row>
                    <xdr:rowOff>304800</xdr:rowOff>
                  </to>
                </anchor>
              </controlPr>
            </control>
          </mc:Choice>
        </mc:AlternateContent>
        <mc:AlternateContent xmlns:mc="http://schemas.openxmlformats.org/markup-compatibility/2006">
          <mc:Choice Requires="x14">
            <control shapeId="129071" r:id="rId28" name="Drop Down 47">
              <controlPr locked="0" defaultSize="0" autoFill="0" autoPict="0">
                <anchor moveWithCells="1">
                  <from>
                    <xdr:col>6</xdr:col>
                    <xdr:colOff>400050</xdr:colOff>
                    <xdr:row>43</xdr:row>
                    <xdr:rowOff>76200</xdr:rowOff>
                  </from>
                  <to>
                    <xdr:col>6</xdr:col>
                    <xdr:colOff>1638300</xdr:colOff>
                    <xdr:row>43</xdr:row>
                    <xdr:rowOff>304800</xdr:rowOff>
                  </to>
                </anchor>
              </controlPr>
            </control>
          </mc:Choice>
        </mc:AlternateContent>
        <mc:AlternateContent xmlns:mc="http://schemas.openxmlformats.org/markup-compatibility/2006">
          <mc:Choice Requires="x14">
            <control shapeId="129072" r:id="rId29" name="Drop Down 48">
              <controlPr locked="0" defaultSize="0" autoFill="0" autoPict="0">
                <anchor moveWithCells="1">
                  <from>
                    <xdr:col>6</xdr:col>
                    <xdr:colOff>400050</xdr:colOff>
                    <xdr:row>45</xdr:row>
                    <xdr:rowOff>76200</xdr:rowOff>
                  </from>
                  <to>
                    <xdr:col>6</xdr:col>
                    <xdr:colOff>1638300</xdr:colOff>
                    <xdr:row>45</xdr:row>
                    <xdr:rowOff>304800</xdr:rowOff>
                  </to>
                </anchor>
              </controlPr>
            </control>
          </mc:Choice>
        </mc:AlternateContent>
        <mc:AlternateContent xmlns:mc="http://schemas.openxmlformats.org/markup-compatibility/2006">
          <mc:Choice Requires="x14">
            <control shapeId="129073" r:id="rId30" name="Drop Down 49">
              <controlPr locked="0" defaultSize="0" autoFill="0" autoPict="0">
                <anchor moveWithCells="1">
                  <from>
                    <xdr:col>6</xdr:col>
                    <xdr:colOff>400050</xdr:colOff>
                    <xdr:row>48</xdr:row>
                    <xdr:rowOff>76200</xdr:rowOff>
                  </from>
                  <to>
                    <xdr:col>6</xdr:col>
                    <xdr:colOff>1638300</xdr:colOff>
                    <xdr:row>48</xdr:row>
                    <xdr:rowOff>304800</xdr:rowOff>
                  </to>
                </anchor>
              </controlPr>
            </control>
          </mc:Choice>
        </mc:AlternateContent>
        <mc:AlternateContent xmlns:mc="http://schemas.openxmlformats.org/markup-compatibility/2006">
          <mc:Choice Requires="x14">
            <control shapeId="129074" r:id="rId31" name="Drop Down 50">
              <controlPr locked="0" defaultSize="0" autoFill="0" autoPict="0">
                <anchor moveWithCells="1">
                  <from>
                    <xdr:col>6</xdr:col>
                    <xdr:colOff>400050</xdr:colOff>
                    <xdr:row>50</xdr:row>
                    <xdr:rowOff>76200</xdr:rowOff>
                  </from>
                  <to>
                    <xdr:col>6</xdr:col>
                    <xdr:colOff>1638300</xdr:colOff>
                    <xdr:row>50</xdr:row>
                    <xdr:rowOff>304800</xdr:rowOff>
                  </to>
                </anchor>
              </controlPr>
            </control>
          </mc:Choice>
        </mc:AlternateContent>
        <mc:AlternateContent xmlns:mc="http://schemas.openxmlformats.org/markup-compatibility/2006">
          <mc:Choice Requires="x14">
            <control shapeId="129075" r:id="rId32" name="Drop Down 51">
              <controlPr locked="0" defaultSize="0" autoFill="0" autoPict="0">
                <anchor moveWithCells="1">
                  <from>
                    <xdr:col>6</xdr:col>
                    <xdr:colOff>400050</xdr:colOff>
                    <xdr:row>52</xdr:row>
                    <xdr:rowOff>76200</xdr:rowOff>
                  </from>
                  <to>
                    <xdr:col>6</xdr:col>
                    <xdr:colOff>1638300</xdr:colOff>
                    <xdr:row>52</xdr:row>
                    <xdr:rowOff>304800</xdr:rowOff>
                  </to>
                </anchor>
              </controlPr>
            </control>
          </mc:Choice>
        </mc:AlternateContent>
        <mc:AlternateContent xmlns:mc="http://schemas.openxmlformats.org/markup-compatibility/2006">
          <mc:Choice Requires="x14">
            <control shapeId="129076" r:id="rId33" name="Drop Down 52">
              <controlPr locked="0" defaultSize="0" autoFill="0" autoPict="0">
                <anchor moveWithCells="1">
                  <from>
                    <xdr:col>6</xdr:col>
                    <xdr:colOff>400050</xdr:colOff>
                    <xdr:row>54</xdr:row>
                    <xdr:rowOff>76200</xdr:rowOff>
                  </from>
                  <to>
                    <xdr:col>6</xdr:col>
                    <xdr:colOff>1638300</xdr:colOff>
                    <xdr:row>54</xdr:row>
                    <xdr:rowOff>304800</xdr:rowOff>
                  </to>
                </anchor>
              </controlPr>
            </control>
          </mc:Choice>
        </mc:AlternateContent>
        <mc:AlternateContent xmlns:mc="http://schemas.openxmlformats.org/markup-compatibility/2006">
          <mc:Choice Requires="x14">
            <control shapeId="129077" r:id="rId34" name="Drop Down 53">
              <controlPr locked="0" defaultSize="0" autoFill="0" autoPict="0">
                <anchor moveWithCells="1">
                  <from>
                    <xdr:col>6</xdr:col>
                    <xdr:colOff>400050</xdr:colOff>
                    <xdr:row>56</xdr:row>
                    <xdr:rowOff>76200</xdr:rowOff>
                  </from>
                  <to>
                    <xdr:col>6</xdr:col>
                    <xdr:colOff>1638300</xdr:colOff>
                    <xdr:row>56</xdr:row>
                    <xdr:rowOff>304800</xdr:rowOff>
                  </to>
                </anchor>
              </controlPr>
            </control>
          </mc:Choice>
        </mc:AlternateContent>
        <mc:AlternateContent xmlns:mc="http://schemas.openxmlformats.org/markup-compatibility/2006">
          <mc:Choice Requires="x14">
            <control shapeId="129078" r:id="rId35" name="Drop Down 54">
              <controlPr locked="0" defaultSize="0" autoFill="0" autoPict="0">
                <anchor moveWithCells="1">
                  <from>
                    <xdr:col>6</xdr:col>
                    <xdr:colOff>400050</xdr:colOff>
                    <xdr:row>58</xdr:row>
                    <xdr:rowOff>76200</xdr:rowOff>
                  </from>
                  <to>
                    <xdr:col>6</xdr:col>
                    <xdr:colOff>1638300</xdr:colOff>
                    <xdr:row>58</xdr:row>
                    <xdr:rowOff>304800</xdr:rowOff>
                  </to>
                </anchor>
              </controlPr>
            </control>
          </mc:Choice>
        </mc:AlternateContent>
        <mc:AlternateContent xmlns:mc="http://schemas.openxmlformats.org/markup-compatibility/2006">
          <mc:Choice Requires="x14">
            <control shapeId="129079" r:id="rId36" name="Drop Down 55">
              <controlPr locked="0" defaultSize="0" autoFill="0" autoPict="0">
                <anchor moveWithCells="1">
                  <from>
                    <xdr:col>6</xdr:col>
                    <xdr:colOff>400050</xdr:colOff>
                    <xdr:row>61</xdr:row>
                    <xdr:rowOff>76200</xdr:rowOff>
                  </from>
                  <to>
                    <xdr:col>6</xdr:col>
                    <xdr:colOff>1638300</xdr:colOff>
                    <xdr:row>61</xdr:row>
                    <xdr:rowOff>304800</xdr:rowOff>
                  </to>
                </anchor>
              </controlPr>
            </control>
          </mc:Choice>
        </mc:AlternateContent>
        <mc:AlternateContent xmlns:mc="http://schemas.openxmlformats.org/markup-compatibility/2006">
          <mc:Choice Requires="x14">
            <control shapeId="129080" r:id="rId37" name="Drop Down 56">
              <controlPr locked="0" defaultSize="0" autoFill="0" autoPict="0">
                <anchor moveWithCells="1">
                  <from>
                    <xdr:col>6</xdr:col>
                    <xdr:colOff>400050</xdr:colOff>
                    <xdr:row>62</xdr:row>
                    <xdr:rowOff>76200</xdr:rowOff>
                  </from>
                  <to>
                    <xdr:col>6</xdr:col>
                    <xdr:colOff>1638300</xdr:colOff>
                    <xdr:row>62</xdr:row>
                    <xdr:rowOff>304800</xdr:rowOff>
                  </to>
                </anchor>
              </controlPr>
            </control>
          </mc:Choice>
        </mc:AlternateContent>
        <mc:AlternateContent xmlns:mc="http://schemas.openxmlformats.org/markup-compatibility/2006">
          <mc:Choice Requires="x14">
            <control shapeId="129081" r:id="rId38" name="Drop Down 57">
              <controlPr locked="0" defaultSize="0" autoFill="0" autoPict="0">
                <anchor moveWithCells="1">
                  <from>
                    <xdr:col>6</xdr:col>
                    <xdr:colOff>400050</xdr:colOff>
                    <xdr:row>63</xdr:row>
                    <xdr:rowOff>76200</xdr:rowOff>
                  </from>
                  <to>
                    <xdr:col>6</xdr:col>
                    <xdr:colOff>1638300</xdr:colOff>
                    <xdr:row>63</xdr:row>
                    <xdr:rowOff>304800</xdr:rowOff>
                  </to>
                </anchor>
              </controlPr>
            </control>
          </mc:Choice>
        </mc:AlternateContent>
        <mc:AlternateContent xmlns:mc="http://schemas.openxmlformats.org/markup-compatibility/2006">
          <mc:Choice Requires="x14">
            <control shapeId="129082" r:id="rId39" name="Drop Down 58">
              <controlPr locked="0" defaultSize="0" autoFill="0" autoPict="0">
                <anchor moveWithCells="1">
                  <from>
                    <xdr:col>6</xdr:col>
                    <xdr:colOff>400050</xdr:colOff>
                    <xdr:row>64</xdr:row>
                    <xdr:rowOff>76200</xdr:rowOff>
                  </from>
                  <to>
                    <xdr:col>6</xdr:col>
                    <xdr:colOff>1638300</xdr:colOff>
                    <xdr:row>64</xdr:row>
                    <xdr:rowOff>304800</xdr:rowOff>
                  </to>
                </anchor>
              </controlPr>
            </control>
          </mc:Choice>
        </mc:AlternateContent>
        <mc:AlternateContent xmlns:mc="http://schemas.openxmlformats.org/markup-compatibility/2006">
          <mc:Choice Requires="x14">
            <control shapeId="129083" r:id="rId40" name="Drop Down 59">
              <controlPr locked="0" defaultSize="0" autoFill="0" autoPict="0">
                <anchor moveWithCells="1">
                  <from>
                    <xdr:col>6</xdr:col>
                    <xdr:colOff>400050</xdr:colOff>
                    <xdr:row>66</xdr:row>
                    <xdr:rowOff>76200</xdr:rowOff>
                  </from>
                  <to>
                    <xdr:col>6</xdr:col>
                    <xdr:colOff>1638300</xdr:colOff>
                    <xdr:row>66</xdr:row>
                    <xdr:rowOff>304800</xdr:rowOff>
                  </to>
                </anchor>
              </controlPr>
            </control>
          </mc:Choice>
        </mc:AlternateContent>
        <mc:AlternateContent xmlns:mc="http://schemas.openxmlformats.org/markup-compatibility/2006">
          <mc:Choice Requires="x14">
            <control shapeId="129084" r:id="rId41" name="Drop Down 60">
              <controlPr locked="0" defaultSize="0" autoFill="0" autoPict="0">
                <anchor moveWithCells="1">
                  <from>
                    <xdr:col>6</xdr:col>
                    <xdr:colOff>400050</xdr:colOff>
                    <xdr:row>68</xdr:row>
                    <xdr:rowOff>76200</xdr:rowOff>
                  </from>
                  <to>
                    <xdr:col>6</xdr:col>
                    <xdr:colOff>1638300</xdr:colOff>
                    <xdr:row>68</xdr:row>
                    <xdr:rowOff>304800</xdr:rowOff>
                  </to>
                </anchor>
              </controlPr>
            </control>
          </mc:Choice>
        </mc:AlternateContent>
        <mc:AlternateContent xmlns:mc="http://schemas.openxmlformats.org/markup-compatibility/2006">
          <mc:Choice Requires="x14">
            <control shapeId="129085" r:id="rId42" name="Drop Down 61">
              <controlPr locked="0" defaultSize="0" autoFill="0" autoPict="0">
                <anchor moveWithCells="1">
                  <from>
                    <xdr:col>6</xdr:col>
                    <xdr:colOff>400050</xdr:colOff>
                    <xdr:row>70</xdr:row>
                    <xdr:rowOff>76200</xdr:rowOff>
                  </from>
                  <to>
                    <xdr:col>6</xdr:col>
                    <xdr:colOff>1638300</xdr:colOff>
                    <xdr:row>70</xdr:row>
                    <xdr:rowOff>304800</xdr:rowOff>
                  </to>
                </anchor>
              </controlPr>
            </control>
          </mc:Choice>
        </mc:AlternateContent>
        <mc:AlternateContent xmlns:mc="http://schemas.openxmlformats.org/markup-compatibility/2006">
          <mc:Choice Requires="x14">
            <control shapeId="129086" r:id="rId43" name="Drop Down 62">
              <controlPr locked="0" defaultSize="0" autoFill="0" autoPict="0">
                <anchor moveWithCells="1">
                  <from>
                    <xdr:col>6</xdr:col>
                    <xdr:colOff>400050</xdr:colOff>
                    <xdr:row>72</xdr:row>
                    <xdr:rowOff>76200</xdr:rowOff>
                  </from>
                  <to>
                    <xdr:col>6</xdr:col>
                    <xdr:colOff>1638300</xdr:colOff>
                    <xdr:row>72</xdr:row>
                    <xdr:rowOff>304800</xdr:rowOff>
                  </to>
                </anchor>
              </controlPr>
            </control>
          </mc:Choice>
        </mc:AlternateContent>
        <mc:AlternateContent xmlns:mc="http://schemas.openxmlformats.org/markup-compatibility/2006">
          <mc:Choice Requires="x14">
            <control shapeId="129087" r:id="rId44" name="Drop Down 63">
              <controlPr locked="0" defaultSize="0" autoFill="0" autoPict="0">
                <anchor moveWithCells="1">
                  <from>
                    <xdr:col>6</xdr:col>
                    <xdr:colOff>400050</xdr:colOff>
                    <xdr:row>73</xdr:row>
                    <xdr:rowOff>76200</xdr:rowOff>
                  </from>
                  <to>
                    <xdr:col>6</xdr:col>
                    <xdr:colOff>1638300</xdr:colOff>
                    <xdr:row>73</xdr:row>
                    <xdr:rowOff>304800</xdr:rowOff>
                  </to>
                </anchor>
              </controlPr>
            </control>
          </mc:Choice>
        </mc:AlternateContent>
        <mc:AlternateContent xmlns:mc="http://schemas.openxmlformats.org/markup-compatibility/2006">
          <mc:Choice Requires="x14">
            <control shapeId="129088" r:id="rId45" name="Drop Down 64">
              <controlPr locked="0" defaultSize="0" autoFill="0" autoPict="0">
                <anchor moveWithCells="1">
                  <from>
                    <xdr:col>6</xdr:col>
                    <xdr:colOff>400050</xdr:colOff>
                    <xdr:row>74</xdr:row>
                    <xdr:rowOff>76200</xdr:rowOff>
                  </from>
                  <to>
                    <xdr:col>6</xdr:col>
                    <xdr:colOff>1638300</xdr:colOff>
                    <xdr:row>74</xdr:row>
                    <xdr:rowOff>304800</xdr:rowOff>
                  </to>
                </anchor>
              </controlPr>
            </control>
          </mc:Choice>
        </mc:AlternateContent>
        <mc:AlternateContent xmlns:mc="http://schemas.openxmlformats.org/markup-compatibility/2006">
          <mc:Choice Requires="x14">
            <control shapeId="129089" r:id="rId46" name="Drop Down 65">
              <controlPr locked="0" defaultSize="0" autoFill="0" autoPict="0">
                <anchor moveWithCells="1">
                  <from>
                    <xdr:col>6</xdr:col>
                    <xdr:colOff>400050</xdr:colOff>
                    <xdr:row>75</xdr:row>
                    <xdr:rowOff>76200</xdr:rowOff>
                  </from>
                  <to>
                    <xdr:col>6</xdr:col>
                    <xdr:colOff>1638300</xdr:colOff>
                    <xdr:row>75</xdr:row>
                    <xdr:rowOff>304800</xdr:rowOff>
                  </to>
                </anchor>
              </controlPr>
            </control>
          </mc:Choice>
        </mc:AlternateContent>
        <mc:AlternateContent xmlns:mc="http://schemas.openxmlformats.org/markup-compatibility/2006">
          <mc:Choice Requires="x14">
            <control shapeId="129046" r:id="rId47" name="Drop Down 22">
              <controlPr locked="0" defaultSize="0" autoFill="0" autoPict="0">
                <anchor moveWithCells="1">
                  <from>
                    <xdr:col>6</xdr:col>
                    <xdr:colOff>400050</xdr:colOff>
                    <xdr:row>8</xdr:row>
                    <xdr:rowOff>76200</xdr:rowOff>
                  </from>
                  <to>
                    <xdr:col>6</xdr:col>
                    <xdr:colOff>1638300</xdr:colOff>
                    <xdr:row>8</xdr:row>
                    <xdr:rowOff>304800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tabColor rgb="FFFF0000"/>
    <pageSetUpPr autoPageBreaks="0" fitToPage="1"/>
  </sheetPr>
  <dimension ref="A2:AI104"/>
  <sheetViews>
    <sheetView showGridLines="0" showRowColHeaders="0" topLeftCell="D1" zoomScaleNormal="100" workbookViewId="0">
      <pane ySplit="7" topLeftCell="A8" activePane="bottomLeft" state="frozen"/>
      <selection pane="bottomLeft" activeCell="F2" sqref="F2:F5"/>
    </sheetView>
  </sheetViews>
  <sheetFormatPr defaultColWidth="9.140625" defaultRowHeight="15" x14ac:dyDescent="0.25"/>
  <cols>
    <col min="1" max="1" width="9.28515625" style="21" hidden="1" customWidth="1"/>
    <col min="2" max="3" width="8.85546875" style="21" hidden="1" customWidth="1"/>
    <col min="4" max="4" width="6.28515625" style="152" customWidth="1"/>
    <col min="5" max="5" width="15.5703125" style="21" customWidth="1"/>
    <col min="6" max="6" width="67.42578125" style="21" customWidth="1"/>
    <col min="7" max="7" width="29.7109375" style="152" customWidth="1"/>
    <col min="8" max="8" width="7.7109375" style="152" hidden="1" customWidth="1"/>
    <col min="9" max="9" width="9.7109375" style="152" hidden="1" customWidth="1"/>
    <col min="10" max="13" width="7.7109375" style="152" hidden="1" customWidth="1"/>
    <col min="14" max="15" width="13.140625" style="21" customWidth="1"/>
    <col min="16" max="16" width="28.42578125" style="21" customWidth="1"/>
    <col min="17" max="17" width="41.7109375" style="21" customWidth="1"/>
    <col min="18" max="33" width="9.140625" style="21" customWidth="1"/>
    <col min="34" max="34" width="9.140625" style="82" hidden="1" customWidth="1"/>
    <col min="35" max="35" width="9.140625" style="13" hidden="1" customWidth="1"/>
    <col min="36" max="39" width="9.140625" style="21" customWidth="1"/>
    <col min="40" max="16384" width="9.140625" style="21"/>
  </cols>
  <sheetData>
    <row r="2" spans="1:35" s="53" customFormat="1" ht="15" customHeight="1" x14ac:dyDescent="0.25">
      <c r="A2" s="50"/>
      <c r="B2" s="21"/>
      <c r="C2" s="21"/>
      <c r="D2" s="152"/>
      <c r="E2" s="21"/>
      <c r="F2" s="325" t="str">
        <f ca="1">"Maturity model for Stage "&amp;LEFT(B8,1)&amp;" - "&amp;VLOOKUP(A8-1,Contents_Text,7,FALSE)</f>
        <v>Maturity model for Stage B - Testing</v>
      </c>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82"/>
      <c r="AI2" s="13"/>
    </row>
    <row r="3" spans="1:35" s="53" customFormat="1" ht="15" customHeight="1" x14ac:dyDescent="0.25">
      <c r="A3" s="21"/>
      <c r="B3" s="21"/>
      <c r="C3" s="21"/>
      <c r="D3" s="152"/>
      <c r="E3" s="21"/>
      <c r="F3" s="325"/>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82"/>
      <c r="AI3" s="13"/>
    </row>
    <row r="4" spans="1:35" s="53" customFormat="1" ht="15" customHeight="1" x14ac:dyDescent="0.25">
      <c r="A4" s="21"/>
      <c r="B4" s="21"/>
      <c r="C4" s="21"/>
      <c r="D4" s="152"/>
      <c r="E4" s="21"/>
      <c r="F4" s="325"/>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82"/>
      <c r="AI4" s="13"/>
    </row>
    <row r="5" spans="1:35" s="53" customFormat="1" ht="15" customHeight="1" x14ac:dyDescent="0.25">
      <c r="A5" s="21"/>
      <c r="B5" s="21"/>
      <c r="C5" s="21"/>
      <c r="D5" s="152"/>
      <c r="E5" s="21"/>
      <c r="F5" s="325"/>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82"/>
      <c r="AI5" s="13"/>
    </row>
    <row r="6" spans="1:35" ht="11.25" customHeight="1" x14ac:dyDescent="0.25"/>
    <row r="7" spans="1:35" ht="36" customHeight="1" thickBot="1" x14ac:dyDescent="0.35">
      <c r="F7" s="54"/>
      <c r="G7" s="198" t="s">
        <v>51</v>
      </c>
      <c r="H7" s="198"/>
      <c r="I7" s="198"/>
      <c r="J7" s="198"/>
      <c r="K7" s="198"/>
      <c r="L7" s="198"/>
      <c r="M7" s="198"/>
      <c r="N7" s="55" t="s">
        <v>8</v>
      </c>
      <c r="O7" s="56" t="s">
        <v>52</v>
      </c>
      <c r="P7" s="57" t="s">
        <v>53</v>
      </c>
      <c r="Q7" s="57" t="s">
        <v>0</v>
      </c>
      <c r="AH7" s="223" t="s">
        <v>214</v>
      </c>
    </row>
    <row r="8" spans="1:35" s="76" customFormat="1" ht="30" customHeight="1" x14ac:dyDescent="0.25">
      <c r="A8" s="73">
        <v>72</v>
      </c>
      <c r="B8" s="74" t="str">
        <f t="shared" ref="B8:B39" ca="1" si="0">VLOOKUP(A8,Contents_Text,2,FALSE)</f>
        <v>B.1</v>
      </c>
      <c r="C8" s="20">
        <f t="shared" ref="C8:C39" ca="1" si="1">VLOOKUP(A8,Contents_Text,15,FALSE)</f>
        <v>2</v>
      </c>
      <c r="D8" s="20"/>
      <c r="E8" s="159" t="str">
        <f t="shared" ref="E8:E39" ca="1" si="2">IF(C8=1,"Phase "&amp;B8,IF(C8=2,"Step "&amp;VLOOKUP(A8,Contents_Text,4,FALSE),B8))</f>
        <v>Step 1</v>
      </c>
      <c r="F8" s="160" t="str">
        <f t="shared" ref="F8:F39" ca="1" si="3">VLOOKUP(A8,Contents_Text,7,FALSE)</f>
        <v>Agree testing style and type</v>
      </c>
      <c r="G8" s="160"/>
      <c r="H8" s="160"/>
      <c r="I8" s="160"/>
      <c r="J8" s="160"/>
      <c r="K8" s="160"/>
      <c r="L8" s="160"/>
      <c r="M8" s="160"/>
      <c r="N8" s="160" t="str">
        <f t="shared" ref="N8:N39" ca="1" si="4">IFERROR(IF(VLOOKUP(A8,Weightings_Assessments,25,FALSE)=0,"",VLOOKUP(A8,Weightings_Assessments,25,FALSE)),"")</f>
        <v/>
      </c>
      <c r="O8" s="160" t="str">
        <f t="shared" ref="O8:O39" ca="1" si="5">IFERROR(VLOOKUP(AH8,detail_maturity_score,3,FALSE)*VLOOKUP(A8,Weightings_Assessments,23,FALSE),"")</f>
        <v/>
      </c>
      <c r="P8" s="160"/>
      <c r="Q8" s="160"/>
      <c r="R8" s="160"/>
      <c r="S8" s="160"/>
      <c r="T8" s="160"/>
      <c r="U8" s="160"/>
      <c r="V8" s="160"/>
      <c r="W8" s="160"/>
      <c r="X8" s="160"/>
      <c r="Y8" s="160"/>
      <c r="Z8" s="160"/>
      <c r="AA8" s="160"/>
      <c r="AB8" s="160"/>
      <c r="AC8" s="160"/>
      <c r="AD8" s="160"/>
      <c r="AE8" s="160"/>
      <c r="AF8" s="160"/>
      <c r="AG8" s="160"/>
      <c r="AH8" s="79"/>
      <c r="AI8" s="13"/>
    </row>
    <row r="9" spans="1:35" s="76" customFormat="1" ht="30" customHeight="1" x14ac:dyDescent="0.25">
      <c r="A9" s="222">
        <v>73</v>
      </c>
      <c r="B9" s="74" t="str">
        <f t="shared" ca="1" si="0"/>
        <v>B.1.01</v>
      </c>
      <c r="C9" s="20">
        <f t="shared" ca="1" si="1"/>
        <v>5</v>
      </c>
      <c r="D9" s="20"/>
      <c r="E9" s="135" t="str">
        <f t="shared" ca="1" si="2"/>
        <v>B.1.01</v>
      </c>
      <c r="F9" s="157" t="str">
        <f t="shared" ca="1" si="3"/>
        <v>Do you identify what style of penetration testing is required?</v>
      </c>
      <c r="G9" s="134"/>
      <c r="H9" s="156"/>
      <c r="I9" s="158"/>
      <c r="J9" s="156"/>
      <c r="K9" s="156"/>
      <c r="L9" s="156"/>
      <c r="M9" s="156"/>
      <c r="N9" s="137" t="str">
        <f t="shared" ca="1" si="4"/>
        <v>x 1</v>
      </c>
      <c r="O9" s="137" t="str">
        <f t="shared" ca="1" si="5"/>
        <v/>
      </c>
      <c r="P9" s="138"/>
      <c r="Q9" s="138"/>
      <c r="R9" s="134"/>
      <c r="S9" s="134"/>
      <c r="T9" s="134"/>
      <c r="U9" s="134"/>
      <c r="V9" s="134"/>
      <c r="W9" s="134"/>
      <c r="X9" s="134"/>
      <c r="Y9" s="134"/>
      <c r="Z9" s="139"/>
      <c r="AA9" s="134"/>
      <c r="AB9" s="134"/>
      <c r="AC9" s="134"/>
      <c r="AD9" s="134"/>
      <c r="AE9" s="134"/>
      <c r="AF9" s="134"/>
      <c r="AG9" s="134"/>
      <c r="AH9" s="79">
        <v>1</v>
      </c>
      <c r="AI9" s="13"/>
    </row>
    <row r="10" spans="1:35" s="76" customFormat="1" ht="30" customHeight="1" x14ac:dyDescent="0.25">
      <c r="A10" s="222">
        <v>74</v>
      </c>
      <c r="B10" s="74" t="str">
        <f t="shared" ca="1" si="0"/>
        <v>B.1.02</v>
      </c>
      <c r="C10" s="20">
        <f t="shared" ca="1" si="1"/>
        <v>5</v>
      </c>
      <c r="D10" s="20"/>
      <c r="E10" s="135" t="str">
        <f t="shared" ca="1" si="2"/>
        <v>B.1.02</v>
      </c>
      <c r="F10" s="157" t="str">
        <f t="shared" ca="1" si="3"/>
        <v>Does your identification of testing style evaluate the need for ‘Black box’, ‘Grey box’ and / or ‘White box’ testing?</v>
      </c>
      <c r="G10" s="134"/>
      <c r="H10" s="156"/>
      <c r="I10" s="158"/>
      <c r="J10" s="156"/>
      <c r="K10" s="156"/>
      <c r="L10" s="156"/>
      <c r="M10" s="156"/>
      <c r="N10" s="137" t="str">
        <f t="shared" ca="1" si="4"/>
        <v>x 2</v>
      </c>
      <c r="O10" s="137" t="str">
        <f t="shared" ca="1" si="5"/>
        <v/>
      </c>
      <c r="P10" s="138"/>
      <c r="Q10" s="138"/>
      <c r="R10" s="134"/>
      <c r="S10" s="134"/>
      <c r="T10" s="134"/>
      <c r="U10" s="134"/>
      <c r="V10" s="134"/>
      <c r="W10" s="134"/>
      <c r="X10" s="134"/>
      <c r="Y10" s="134"/>
      <c r="Z10" s="139"/>
      <c r="AA10" s="134"/>
      <c r="AB10" s="134"/>
      <c r="AC10" s="134"/>
      <c r="AD10" s="134"/>
      <c r="AE10" s="134"/>
      <c r="AF10" s="134"/>
      <c r="AG10" s="134"/>
      <c r="AH10" s="79">
        <v>1</v>
      </c>
      <c r="AI10" s="13"/>
    </row>
    <row r="11" spans="1:35" s="76" customFormat="1" ht="45" x14ac:dyDescent="0.25">
      <c r="A11" s="222">
        <v>75</v>
      </c>
      <c r="B11" s="74" t="str">
        <f t="shared" ca="1" si="0"/>
        <v>B.1.03</v>
      </c>
      <c r="C11" s="20">
        <f t="shared" ca="1" si="1"/>
        <v>5</v>
      </c>
      <c r="D11" s="20"/>
      <c r="E11" s="135" t="str">
        <f t="shared" ca="1" si="2"/>
        <v>B.1.03</v>
      </c>
      <c r="F11" s="157" t="str">
        <f t="shared" ca="1" si="3"/>
        <v>Does your identification of testing style consider the use of an ‘external’ penetration test (the most common type of test), which is aimed at IT systems from ‘outside the building’?</v>
      </c>
      <c r="G11" s="134"/>
      <c r="H11" s="156"/>
      <c r="I11" s="158"/>
      <c r="J11" s="156"/>
      <c r="K11" s="156"/>
      <c r="L11" s="156"/>
      <c r="M11" s="156"/>
      <c r="N11" s="137" t="str">
        <f t="shared" ca="1" si="4"/>
        <v>x 4</v>
      </c>
      <c r="O11" s="137" t="str">
        <f t="shared" ca="1" si="5"/>
        <v/>
      </c>
      <c r="P11" s="138"/>
      <c r="Q11" s="138"/>
      <c r="R11" s="134"/>
      <c r="S11" s="134"/>
      <c r="T11" s="134"/>
      <c r="U11" s="134"/>
      <c r="V11" s="134"/>
      <c r="W11" s="134"/>
      <c r="X11" s="134"/>
      <c r="Y11" s="134"/>
      <c r="Z11" s="139"/>
      <c r="AA11" s="134"/>
      <c r="AB11" s="134"/>
      <c r="AC11" s="134"/>
      <c r="AD11" s="134"/>
      <c r="AE11" s="134"/>
      <c r="AF11" s="134"/>
      <c r="AG11" s="134"/>
      <c r="AH11" s="79">
        <v>1</v>
      </c>
      <c r="AI11" s="13"/>
    </row>
    <row r="12" spans="1:35" s="76" customFormat="1" ht="60" x14ac:dyDescent="0.25">
      <c r="A12" s="222">
        <v>76</v>
      </c>
      <c r="B12" s="74" t="str">
        <f t="shared" ca="1" si="0"/>
        <v>B.1.04</v>
      </c>
      <c r="C12" s="20">
        <f t="shared" ca="1" si="1"/>
        <v>5</v>
      </c>
      <c r="D12" s="20"/>
      <c r="E12" s="135" t="str">
        <f t="shared" ca="1" si="2"/>
        <v>B.1.04</v>
      </c>
      <c r="F12" s="157" t="str">
        <f t="shared" ca="1" si="3"/>
        <v>Does your identification of testing types consider the use of an internal security test; end-to-end testing (i.e. for people, through data, devices, applications and infrastructure); emerging technologies (e.g. mobile applications); and social engineering?</v>
      </c>
      <c r="G12" s="134"/>
      <c r="H12" s="156"/>
      <c r="I12" s="158"/>
      <c r="J12" s="156"/>
      <c r="K12" s="156"/>
      <c r="L12" s="156"/>
      <c r="M12" s="156"/>
      <c r="N12" s="137" t="str">
        <f t="shared" ca="1" si="4"/>
        <v>x 5</v>
      </c>
      <c r="O12" s="137" t="str">
        <f t="shared" ca="1" si="5"/>
        <v/>
      </c>
      <c r="P12" s="138"/>
      <c r="Q12" s="138"/>
      <c r="R12" s="134"/>
      <c r="S12" s="134"/>
      <c r="T12" s="134"/>
      <c r="U12" s="134"/>
      <c r="V12" s="134"/>
      <c r="W12" s="134"/>
      <c r="X12" s="134"/>
      <c r="Y12" s="134"/>
      <c r="Z12" s="139"/>
      <c r="AA12" s="134"/>
      <c r="AB12" s="134"/>
      <c r="AC12" s="134"/>
      <c r="AD12" s="134"/>
      <c r="AE12" s="134"/>
      <c r="AF12" s="134"/>
      <c r="AG12" s="134"/>
      <c r="AH12" s="79">
        <v>1</v>
      </c>
      <c r="AI12" s="13"/>
    </row>
    <row r="13" spans="1:35" s="76" customFormat="1" ht="45" x14ac:dyDescent="0.25">
      <c r="A13" s="222">
        <v>77</v>
      </c>
      <c r="B13" s="74" t="str">
        <f t="shared" ca="1" si="0"/>
        <v>B.1.05</v>
      </c>
      <c r="C13" s="20">
        <f t="shared" ca="1" si="1"/>
        <v>5</v>
      </c>
      <c r="D13" s="20"/>
      <c r="E13" s="135" t="str">
        <f t="shared" ca="1" si="2"/>
        <v>B.1.05</v>
      </c>
      <c r="F13" s="157" t="str">
        <f t="shared" ca="1" si="3"/>
        <v>Does your identification of testing types consider Web application testing, Infrastructure testing and Specialised penetration testing, such as for mobile, client server or cloud-based applications</v>
      </c>
      <c r="G13" s="134"/>
      <c r="H13" s="156"/>
      <c r="I13" s="158"/>
      <c r="J13" s="156"/>
      <c r="K13" s="156"/>
      <c r="L13" s="156"/>
      <c r="M13" s="156"/>
      <c r="N13" s="137" t="str">
        <f t="shared" ca="1" si="4"/>
        <v>x 5</v>
      </c>
      <c r="O13" s="137" t="str">
        <f t="shared" ca="1" si="5"/>
        <v/>
      </c>
      <c r="P13" s="138"/>
      <c r="Q13" s="138"/>
      <c r="R13" s="134"/>
      <c r="S13" s="134"/>
      <c r="T13" s="134"/>
      <c r="U13" s="134"/>
      <c r="V13" s="134"/>
      <c r="W13" s="134"/>
      <c r="X13" s="134"/>
      <c r="Y13" s="134"/>
      <c r="Z13" s="139"/>
      <c r="AA13" s="134"/>
      <c r="AB13" s="134"/>
      <c r="AC13" s="134"/>
      <c r="AD13" s="134"/>
      <c r="AE13" s="134"/>
      <c r="AF13" s="134"/>
      <c r="AG13" s="134"/>
      <c r="AH13" s="79">
        <v>1</v>
      </c>
      <c r="AI13" s="13"/>
    </row>
    <row r="14" spans="1:35" s="76" customFormat="1" ht="30" customHeight="1" x14ac:dyDescent="0.25">
      <c r="A14" s="222">
        <v>78</v>
      </c>
      <c r="B14" s="74" t="str">
        <f t="shared" ca="1" si="0"/>
        <v>B.1.06</v>
      </c>
      <c r="C14" s="20">
        <f t="shared" ca="1" si="1"/>
        <v>5</v>
      </c>
      <c r="D14" s="20"/>
      <c r="E14" s="135" t="str">
        <f t="shared" ca="1" si="2"/>
        <v>B.1.06</v>
      </c>
      <c r="F14" s="157" t="str">
        <f t="shared" ca="1" si="3"/>
        <v>Is your test environment as similar to the live environment as possible?</v>
      </c>
      <c r="G14" s="134"/>
      <c r="H14" s="156"/>
      <c r="I14" s="158"/>
      <c r="J14" s="156"/>
      <c r="K14" s="156"/>
      <c r="L14" s="156"/>
      <c r="M14" s="156"/>
      <c r="N14" s="137" t="str">
        <f t="shared" ca="1" si="4"/>
        <v>x 5</v>
      </c>
      <c r="O14" s="137" t="str">
        <f t="shared" ca="1" si="5"/>
        <v/>
      </c>
      <c r="P14" s="138"/>
      <c r="Q14" s="138"/>
      <c r="R14" s="134"/>
      <c r="S14" s="134"/>
      <c r="T14" s="134"/>
      <c r="U14" s="134"/>
      <c r="V14" s="134"/>
      <c r="W14" s="134"/>
      <c r="X14" s="134"/>
      <c r="Y14" s="134"/>
      <c r="Z14" s="139"/>
      <c r="AA14" s="134"/>
      <c r="AB14" s="134"/>
      <c r="AC14" s="134"/>
      <c r="AD14" s="134"/>
      <c r="AE14" s="134"/>
      <c r="AF14" s="134"/>
      <c r="AG14" s="134"/>
      <c r="AH14" s="79">
        <v>1</v>
      </c>
      <c r="AI14" s="13"/>
    </row>
    <row r="15" spans="1:35" s="76" customFormat="1" ht="30" customHeight="1" x14ac:dyDescent="0.25">
      <c r="A15" s="73">
        <v>79</v>
      </c>
      <c r="B15" s="74" t="str">
        <f t="shared" ca="1" si="0"/>
        <v>B.2</v>
      </c>
      <c r="C15" s="20">
        <f t="shared" ca="1" si="1"/>
        <v>2</v>
      </c>
      <c r="D15" s="20"/>
      <c r="E15" s="159" t="str">
        <f t="shared" ca="1" si="2"/>
        <v>Step 2</v>
      </c>
      <c r="F15" s="160" t="str">
        <f t="shared" ca="1" si="3"/>
        <v>Identify testing constraints</v>
      </c>
      <c r="G15" s="160"/>
      <c r="H15" s="160"/>
      <c r="I15" s="160"/>
      <c r="J15" s="160"/>
      <c r="K15" s="160"/>
      <c r="L15" s="160"/>
      <c r="M15" s="160"/>
      <c r="N15" s="160" t="str">
        <f t="shared" ca="1" si="4"/>
        <v/>
      </c>
      <c r="O15" s="160" t="str">
        <f t="shared" ca="1" si="5"/>
        <v/>
      </c>
      <c r="P15" s="160"/>
      <c r="Q15" s="160"/>
      <c r="R15" s="160"/>
      <c r="S15" s="160"/>
      <c r="T15" s="160"/>
      <c r="U15" s="160"/>
      <c r="V15" s="160"/>
      <c r="W15" s="160"/>
      <c r="X15" s="160"/>
      <c r="Y15" s="160"/>
      <c r="Z15" s="160"/>
      <c r="AA15" s="160"/>
      <c r="AB15" s="160"/>
      <c r="AC15" s="160"/>
      <c r="AD15" s="160"/>
      <c r="AE15" s="160"/>
      <c r="AF15" s="160"/>
      <c r="AG15" s="160"/>
      <c r="AH15" s="79">
        <v>1</v>
      </c>
      <c r="AI15" s="13"/>
    </row>
    <row r="16" spans="1:35" s="76" customFormat="1" ht="30" customHeight="1" x14ac:dyDescent="0.25">
      <c r="A16" s="222">
        <v>80</v>
      </c>
      <c r="B16" s="74" t="str">
        <f t="shared" ca="1" si="0"/>
        <v>B.2.01</v>
      </c>
      <c r="C16" s="20">
        <f t="shared" ca="1" si="1"/>
        <v>5</v>
      </c>
      <c r="D16" s="20"/>
      <c r="E16" s="135" t="str">
        <f t="shared" ca="1" si="2"/>
        <v>B.2.01</v>
      </c>
      <c r="F16" s="157" t="str">
        <f t="shared" ca="1" si="3"/>
        <v>Do you identify any testing constraints associated with the planned penetration testing?</v>
      </c>
      <c r="G16" s="134"/>
      <c r="H16" s="156"/>
      <c r="I16" s="158"/>
      <c r="J16" s="156"/>
      <c r="K16" s="156"/>
      <c r="L16" s="156"/>
      <c r="M16" s="156"/>
      <c r="N16" s="137" t="str">
        <f t="shared" ca="1" si="4"/>
        <v>x 1</v>
      </c>
      <c r="O16" s="137" t="str">
        <f t="shared" ca="1" si="5"/>
        <v/>
      </c>
      <c r="P16" s="138"/>
      <c r="Q16" s="138"/>
      <c r="R16" s="134"/>
      <c r="S16" s="134"/>
      <c r="T16" s="134"/>
      <c r="U16" s="134"/>
      <c r="V16" s="134"/>
      <c r="W16" s="134"/>
      <c r="X16" s="134"/>
      <c r="Y16" s="134"/>
      <c r="Z16" s="139"/>
      <c r="AA16" s="134"/>
      <c r="AB16" s="134"/>
      <c r="AC16" s="134"/>
      <c r="AD16" s="134"/>
      <c r="AE16" s="134"/>
      <c r="AF16" s="134"/>
      <c r="AG16" s="134"/>
      <c r="AH16" s="79">
        <v>1</v>
      </c>
      <c r="AI16" s="13"/>
    </row>
    <row r="17" spans="1:35" s="142" customFormat="1" ht="75" x14ac:dyDescent="0.25">
      <c r="A17" s="154">
        <v>81</v>
      </c>
      <c r="B17" s="133" t="str">
        <f t="shared" ca="1" si="0"/>
        <v>B.2.02</v>
      </c>
      <c r="C17" s="134">
        <f t="shared" ca="1" si="1"/>
        <v>5</v>
      </c>
      <c r="D17" s="92"/>
      <c r="E17" s="135" t="str">
        <f t="shared" ca="1" si="2"/>
        <v>B.2.02</v>
      </c>
      <c r="F17" s="157" t="str">
        <f t="shared" ca="1" si="3"/>
        <v>When identifying testing constraints, do you allow for aspects of the business that cannot be tested due to operational limitations, considering that attackers often do whatever it takes to penetrate an organisation or system (If they are not able to penetrate a particular system, they may simply try another route.)?</v>
      </c>
      <c r="G17" s="134"/>
      <c r="H17" s="156"/>
      <c r="I17" s="158"/>
      <c r="J17" s="156"/>
      <c r="K17" s="156"/>
      <c r="L17" s="156"/>
      <c r="M17" s="156"/>
      <c r="N17" s="137" t="str">
        <f t="shared" ca="1" si="4"/>
        <v>x 5</v>
      </c>
      <c r="O17" s="137" t="str">
        <f t="shared" ca="1" si="5"/>
        <v/>
      </c>
      <c r="P17" s="138"/>
      <c r="Q17" s="138"/>
      <c r="R17" s="134"/>
      <c r="S17" s="134"/>
      <c r="T17" s="134"/>
      <c r="U17" s="134"/>
      <c r="V17" s="134"/>
      <c r="W17" s="134"/>
      <c r="X17" s="134"/>
      <c r="Y17" s="134"/>
      <c r="Z17" s="139"/>
      <c r="AA17" s="134"/>
      <c r="AB17" s="134"/>
      <c r="AC17" s="134"/>
      <c r="AD17" s="134"/>
      <c r="AE17" s="134"/>
      <c r="AF17" s="134"/>
      <c r="AG17" s="134"/>
      <c r="AH17" s="141">
        <v>1</v>
      </c>
      <c r="AI17" s="13"/>
    </row>
    <row r="18" spans="1:35" s="142" customFormat="1" ht="45" x14ac:dyDescent="0.25">
      <c r="A18" s="154">
        <v>82</v>
      </c>
      <c r="B18" s="133" t="str">
        <f t="shared" ca="1" si="0"/>
        <v/>
      </c>
      <c r="C18" s="134">
        <f t="shared" ca="1" si="1"/>
        <v>3</v>
      </c>
      <c r="D18" s="92"/>
      <c r="E18" s="135" t="str">
        <f t="shared" ca="1" si="2"/>
        <v/>
      </c>
      <c r="F18" s="155" t="str">
        <f t="shared" ca="1" si="3"/>
        <v>Methods of dealing with operational testing constraints can include simulating live tests as closely as possible and conducting tests outside of normal hours (and locations).</v>
      </c>
      <c r="G18" s="155"/>
      <c r="H18" s="155"/>
      <c r="I18" s="155"/>
      <c r="J18" s="155"/>
      <c r="K18" s="155"/>
      <c r="L18" s="155"/>
      <c r="M18" s="155"/>
      <c r="N18" s="137" t="str">
        <f t="shared" ca="1" si="4"/>
        <v/>
      </c>
      <c r="O18" s="134" t="str">
        <f t="shared" ca="1" si="5"/>
        <v/>
      </c>
      <c r="P18" s="138"/>
      <c r="Q18" s="138"/>
      <c r="R18" s="134"/>
      <c r="S18" s="134"/>
      <c r="T18" s="134"/>
      <c r="U18" s="134"/>
      <c r="V18" s="134"/>
      <c r="W18" s="134"/>
      <c r="X18" s="134"/>
      <c r="Y18" s="134"/>
      <c r="Z18" s="139"/>
      <c r="AA18" s="134"/>
      <c r="AB18" s="134"/>
      <c r="AC18" s="134"/>
      <c r="AD18" s="134"/>
      <c r="AE18" s="134"/>
      <c r="AF18" s="134"/>
      <c r="AG18" s="134"/>
      <c r="AH18" s="137">
        <v>1</v>
      </c>
      <c r="AI18" s="13"/>
    </row>
    <row r="19" spans="1:35" s="142" customFormat="1" ht="45" x14ac:dyDescent="0.25">
      <c r="A19" s="154">
        <v>83</v>
      </c>
      <c r="B19" s="133" t="str">
        <f t="shared" ca="1" si="0"/>
        <v>B.2.03</v>
      </c>
      <c r="C19" s="134">
        <f t="shared" ca="1" si="1"/>
        <v>5</v>
      </c>
      <c r="D19" s="92"/>
      <c r="E19" s="135" t="str">
        <f t="shared" ca="1" si="2"/>
        <v>B.2.03</v>
      </c>
      <c r="F19" s="157" t="str">
        <f t="shared" ca="1" si="3"/>
        <v>When identifying testing constraints, do you allow for testing having to be conducted within the confines of the law (considering that attackers often do whatever it takes to penetrate an organisation or system)?</v>
      </c>
      <c r="G19" s="134"/>
      <c r="H19" s="156"/>
      <c r="I19" s="158"/>
      <c r="J19" s="156"/>
      <c r="K19" s="156"/>
      <c r="L19" s="156"/>
      <c r="M19" s="156"/>
      <c r="N19" s="137" t="str">
        <f t="shared" ca="1" si="4"/>
        <v>x 4</v>
      </c>
      <c r="O19" s="137" t="str">
        <f t="shared" ca="1" si="5"/>
        <v/>
      </c>
      <c r="P19" s="138"/>
      <c r="Q19" s="138"/>
      <c r="R19" s="134"/>
      <c r="S19" s="134"/>
      <c r="T19" s="134"/>
      <c r="U19" s="134"/>
      <c r="V19" s="134"/>
      <c r="W19" s="134"/>
      <c r="X19" s="134"/>
      <c r="Y19" s="134"/>
      <c r="Z19" s="139"/>
      <c r="AA19" s="134"/>
      <c r="AB19" s="134"/>
      <c r="AC19" s="134"/>
      <c r="AD19" s="134"/>
      <c r="AE19" s="134"/>
      <c r="AF19" s="134"/>
      <c r="AG19" s="134"/>
      <c r="AH19" s="141">
        <v>1</v>
      </c>
      <c r="AI19" s="13"/>
    </row>
    <row r="20" spans="1:35" s="142" customFormat="1" ht="45" x14ac:dyDescent="0.25">
      <c r="A20" s="154">
        <v>84</v>
      </c>
      <c r="B20" s="133" t="str">
        <f t="shared" ca="1" si="0"/>
        <v/>
      </c>
      <c r="C20" s="134">
        <f t="shared" ca="1" si="1"/>
        <v>3</v>
      </c>
      <c r="D20" s="92"/>
      <c r="E20" s="135" t="str">
        <f t="shared" ca="1" si="2"/>
        <v/>
      </c>
      <c r="F20" s="155" t="str">
        <f t="shared" ca="1" si="3"/>
        <v>Methods of dealing with legal testing constraints can include tailoring the way tests are structured and run to simulate most forms of attack) and taking back-ups of critical systems and files before testing.</v>
      </c>
      <c r="G20" s="155"/>
      <c r="H20" s="155"/>
      <c r="I20" s="155"/>
      <c r="J20" s="155"/>
      <c r="K20" s="155"/>
      <c r="L20" s="155"/>
      <c r="M20" s="155"/>
      <c r="N20" s="137" t="str">
        <f t="shared" ca="1" si="4"/>
        <v/>
      </c>
      <c r="O20" s="134" t="str">
        <f t="shared" ca="1" si="5"/>
        <v/>
      </c>
      <c r="P20" s="138"/>
      <c r="Q20" s="138"/>
      <c r="R20" s="134"/>
      <c r="S20" s="134"/>
      <c r="T20" s="134"/>
      <c r="U20" s="134"/>
      <c r="V20" s="134"/>
      <c r="W20" s="134"/>
      <c r="X20" s="134"/>
      <c r="Y20" s="134"/>
      <c r="Z20" s="139"/>
      <c r="AA20" s="134"/>
      <c r="AB20" s="134"/>
      <c r="AC20" s="134"/>
      <c r="AD20" s="134"/>
      <c r="AE20" s="134"/>
      <c r="AF20" s="134"/>
      <c r="AG20" s="134"/>
      <c r="AH20" s="137">
        <v>1</v>
      </c>
      <c r="AI20" s="13"/>
    </row>
    <row r="21" spans="1:35" s="142" customFormat="1" ht="105" x14ac:dyDescent="0.25">
      <c r="A21" s="154">
        <v>85</v>
      </c>
      <c r="B21" s="133" t="str">
        <f t="shared" ca="1" si="0"/>
        <v>B.2.04</v>
      </c>
      <c r="C21" s="134">
        <f t="shared" ca="1" si="1"/>
        <v>5</v>
      </c>
      <c r="D21" s="92"/>
      <c r="E21" s="135" t="str">
        <f t="shared" ca="1" si="2"/>
        <v>B.2.04</v>
      </c>
      <c r="F21" s="157" t="str">
        <f t="shared" ca="1" si="3"/>
        <v>When identifying testing constraints, do you allow for testers being limited to the scope of the testing and a finite time to conduct tests, considering that attackers will utilise the weakest point of security in any part of connected systems or networks to mount an attack, regardless of ownership, location or jurisdiction – and will often have unlimited time to mount a concerted attack against a system if they have the motivation, capability and resources to do so?</v>
      </c>
      <c r="G21" s="134"/>
      <c r="H21" s="156"/>
      <c r="I21" s="158"/>
      <c r="J21" s="156"/>
      <c r="K21" s="156"/>
      <c r="L21" s="156"/>
      <c r="M21" s="156"/>
      <c r="N21" s="137" t="str">
        <f t="shared" ca="1" si="4"/>
        <v>x 4</v>
      </c>
      <c r="O21" s="137" t="str">
        <f t="shared" ca="1" si="5"/>
        <v/>
      </c>
      <c r="P21" s="138"/>
      <c r="Q21" s="138"/>
      <c r="R21" s="134"/>
      <c r="S21" s="134"/>
      <c r="T21" s="134"/>
      <c r="U21" s="134"/>
      <c r="V21" s="134"/>
      <c r="W21" s="134"/>
      <c r="X21" s="134"/>
      <c r="Y21" s="134"/>
      <c r="Z21" s="139"/>
      <c r="AA21" s="134"/>
      <c r="AB21" s="134"/>
      <c r="AC21" s="134"/>
      <c r="AD21" s="134"/>
      <c r="AE21" s="134"/>
      <c r="AF21" s="134"/>
      <c r="AG21" s="134"/>
      <c r="AH21" s="141">
        <v>1</v>
      </c>
      <c r="AI21" s="13"/>
    </row>
    <row r="22" spans="1:35" s="142" customFormat="1" ht="60" x14ac:dyDescent="0.25">
      <c r="A22" s="154">
        <v>86</v>
      </c>
      <c r="B22" s="133" t="str">
        <f t="shared" ca="1" si="0"/>
        <v/>
      </c>
      <c r="C22" s="134">
        <f t="shared" ca="1" si="1"/>
        <v>3</v>
      </c>
      <c r="D22" s="92"/>
      <c r="E22" s="135" t="str">
        <f t="shared" ca="1" si="2"/>
        <v/>
      </c>
      <c r="F22" s="155" t="str">
        <f t="shared" ca="1" si="3"/>
        <v>Methods of dealing with scope-related testing constraints can include placing perimeter controls within the scope of the test and applying more rigorous testing to applications that are accessible from outside traditional organisational boundaries.</v>
      </c>
      <c r="G22" s="155"/>
      <c r="H22" s="155"/>
      <c r="I22" s="155"/>
      <c r="J22" s="155"/>
      <c r="K22" s="155"/>
      <c r="L22" s="155"/>
      <c r="M22" s="155"/>
      <c r="N22" s="137" t="str">
        <f t="shared" ca="1" si="4"/>
        <v/>
      </c>
      <c r="O22" s="134" t="str">
        <f t="shared" ca="1" si="5"/>
        <v/>
      </c>
      <c r="P22" s="138"/>
      <c r="Q22" s="138"/>
      <c r="R22" s="134"/>
      <c r="S22" s="134"/>
      <c r="T22" s="134"/>
      <c r="U22" s="134"/>
      <c r="V22" s="134"/>
      <c r="W22" s="134"/>
      <c r="X22" s="134"/>
      <c r="Y22" s="134"/>
      <c r="Z22" s="139"/>
      <c r="AA22" s="134"/>
      <c r="AB22" s="134"/>
      <c r="AC22" s="134"/>
      <c r="AD22" s="134"/>
      <c r="AE22" s="134"/>
      <c r="AF22" s="134"/>
      <c r="AG22" s="134"/>
      <c r="AH22" s="137">
        <v>1</v>
      </c>
      <c r="AI22" s="13"/>
    </row>
    <row r="23" spans="1:35" s="142" customFormat="1" ht="60" x14ac:dyDescent="0.25">
      <c r="A23" s="154">
        <v>87</v>
      </c>
      <c r="B23" s="133" t="str">
        <f t="shared" ca="1" si="0"/>
        <v>B.2.05</v>
      </c>
      <c r="C23" s="134">
        <f t="shared" ca="1" si="1"/>
        <v>5</v>
      </c>
      <c r="D23" s="92"/>
      <c r="E23" s="135" t="str">
        <f t="shared" ca="1" si="2"/>
        <v>B.2.05</v>
      </c>
      <c r="F23" s="157" t="str">
        <f t="shared" ca="1" si="3"/>
        <v>When identifying testing constraints, do you allow for testers having limited time to conduct tests, considering that attackers have unlimited time to mount a concerted attack against a system if they have the motivation, capability and resources to do so?</v>
      </c>
      <c r="G23" s="134"/>
      <c r="H23" s="156"/>
      <c r="I23" s="158"/>
      <c r="J23" s="156"/>
      <c r="K23" s="156"/>
      <c r="L23" s="156"/>
      <c r="M23" s="156"/>
      <c r="N23" s="137" t="str">
        <f t="shared" ca="1" si="4"/>
        <v>x 4</v>
      </c>
      <c r="O23" s="137" t="str">
        <f t="shared" ca="1" si="5"/>
        <v/>
      </c>
      <c r="P23" s="138"/>
      <c r="Q23" s="138"/>
      <c r="R23" s="134"/>
      <c r="S23" s="134"/>
      <c r="T23" s="134"/>
      <c r="U23" s="134"/>
      <c r="V23" s="134"/>
      <c r="W23" s="134"/>
      <c r="X23" s="134"/>
      <c r="Y23" s="134"/>
      <c r="Z23" s="139"/>
      <c r="AA23" s="134"/>
      <c r="AB23" s="134"/>
      <c r="AC23" s="134"/>
      <c r="AD23" s="134"/>
      <c r="AE23" s="134"/>
      <c r="AF23" s="134"/>
      <c r="AG23" s="134"/>
      <c r="AH23" s="141">
        <v>1</v>
      </c>
      <c r="AI23" s="13"/>
    </row>
    <row r="24" spans="1:35" s="142" customFormat="1" ht="60" x14ac:dyDescent="0.25">
      <c r="A24" s="154">
        <v>88</v>
      </c>
      <c r="B24" s="133" t="str">
        <f t="shared" ca="1" si="0"/>
        <v/>
      </c>
      <c r="C24" s="134">
        <f t="shared" ca="1" si="1"/>
        <v>3</v>
      </c>
      <c r="D24" s="92"/>
      <c r="E24" s="135" t="str">
        <f t="shared" ca="1" si="2"/>
        <v/>
      </c>
      <c r="F24" s="155" t="str">
        <f t="shared" ca="1" si="3"/>
        <v>Methods of dealing with time constraints can include Investing more time in testing critical systems; providing testers with as much background information as possible; and conducting penetration testing on a regular basis, rather than as a one-off exercise.</v>
      </c>
      <c r="G24" s="155"/>
      <c r="H24" s="155"/>
      <c r="I24" s="155"/>
      <c r="J24" s="155"/>
      <c r="K24" s="155"/>
      <c r="L24" s="155"/>
      <c r="M24" s="155"/>
      <c r="N24" s="137" t="str">
        <f t="shared" ca="1" si="4"/>
        <v/>
      </c>
      <c r="O24" s="134" t="str">
        <f t="shared" ca="1" si="5"/>
        <v/>
      </c>
      <c r="P24" s="138"/>
      <c r="Q24" s="138"/>
      <c r="R24" s="134"/>
      <c r="S24" s="134"/>
      <c r="T24" s="134"/>
      <c r="U24" s="134"/>
      <c r="V24" s="134"/>
      <c r="W24" s="134"/>
      <c r="X24" s="134"/>
      <c r="Y24" s="134"/>
      <c r="Z24" s="139"/>
      <c r="AA24" s="134"/>
      <c r="AB24" s="134"/>
      <c r="AC24" s="134"/>
      <c r="AD24" s="134"/>
      <c r="AE24" s="134"/>
      <c r="AF24" s="134"/>
      <c r="AG24" s="134"/>
      <c r="AH24" s="137">
        <v>1</v>
      </c>
      <c r="AI24" s="13"/>
    </row>
    <row r="25" spans="1:35" s="142" customFormat="1" ht="75" x14ac:dyDescent="0.25">
      <c r="A25" s="154">
        <v>89</v>
      </c>
      <c r="B25" s="133" t="str">
        <f t="shared" ca="1" si="0"/>
        <v>B.2.06</v>
      </c>
      <c r="C25" s="134">
        <f t="shared" ca="1" si="1"/>
        <v>5</v>
      </c>
      <c r="D25" s="92"/>
      <c r="E25" s="135" t="str">
        <f t="shared" ca="1" si="2"/>
        <v>B.2.06</v>
      </c>
      <c r="F25" s="157" t="str">
        <f t="shared" ca="1" si="3"/>
        <v>When identifying testing constraints, do you allow for the likelihood that most penetration testing will not find all vulnerabilities of a given environment (the law of diminishing returns often applies in that the most obvious vulnerabilities will be discovered first, with further time yielding more and more obscure issues)?</v>
      </c>
      <c r="G25" s="134"/>
      <c r="H25" s="156"/>
      <c r="I25" s="158"/>
      <c r="J25" s="156"/>
      <c r="K25" s="156"/>
      <c r="L25" s="156"/>
      <c r="M25" s="156"/>
      <c r="N25" s="137" t="str">
        <f t="shared" ca="1" si="4"/>
        <v>x 4</v>
      </c>
      <c r="O25" s="137" t="str">
        <f t="shared" ca="1" si="5"/>
        <v/>
      </c>
      <c r="P25" s="138"/>
      <c r="Q25" s="138"/>
      <c r="R25" s="134"/>
      <c r="S25" s="134"/>
      <c r="T25" s="134"/>
      <c r="U25" s="134"/>
      <c r="V25" s="134"/>
      <c r="W25" s="134"/>
      <c r="X25" s="134"/>
      <c r="Y25" s="134"/>
      <c r="Z25" s="139"/>
      <c r="AA25" s="134"/>
      <c r="AB25" s="134"/>
      <c r="AC25" s="134"/>
      <c r="AD25" s="134"/>
      <c r="AE25" s="134"/>
      <c r="AF25" s="134"/>
      <c r="AG25" s="134"/>
      <c r="AH25" s="141">
        <v>1</v>
      </c>
      <c r="AI25" s="13"/>
    </row>
    <row r="26" spans="1:35" s="142" customFormat="1" ht="75" x14ac:dyDescent="0.25">
      <c r="A26" s="154">
        <v>90</v>
      </c>
      <c r="B26" s="133" t="str">
        <f t="shared" ca="1" si="0"/>
        <v/>
      </c>
      <c r="C26" s="134">
        <f t="shared" ca="1" si="1"/>
        <v>3</v>
      </c>
      <c r="D26" s="92"/>
      <c r="E26" s="135" t="str">
        <f t="shared" ca="1" si="2"/>
        <v/>
      </c>
      <c r="F26" s="155" t="str">
        <f t="shared" ca="1" si="3"/>
        <v>Methods of dealing with this type of testing constraint can include adopting a ‘risk to cost balance’ when performing tests and doing more than simply fixing vulnerabilities uncovered during testing as this could leave a number of other vulnerabilities present for an attacker to find.</v>
      </c>
      <c r="G26" s="155"/>
      <c r="H26" s="155"/>
      <c r="I26" s="155"/>
      <c r="J26" s="155"/>
      <c r="K26" s="155"/>
      <c r="L26" s="155"/>
      <c r="M26" s="155"/>
      <c r="N26" s="137" t="str">
        <f t="shared" ca="1" si="4"/>
        <v/>
      </c>
      <c r="O26" s="134" t="str">
        <f t="shared" ca="1" si="5"/>
        <v/>
      </c>
      <c r="P26" s="138"/>
      <c r="Q26" s="138"/>
      <c r="R26" s="134"/>
      <c r="S26" s="134"/>
      <c r="T26" s="134"/>
      <c r="U26" s="134"/>
      <c r="V26" s="134"/>
      <c r="W26" s="134"/>
      <c r="X26" s="134"/>
      <c r="Y26" s="134"/>
      <c r="Z26" s="139"/>
      <c r="AA26" s="134"/>
      <c r="AB26" s="134"/>
      <c r="AC26" s="134"/>
      <c r="AD26" s="134"/>
      <c r="AE26" s="134"/>
      <c r="AF26" s="134"/>
      <c r="AG26" s="134"/>
      <c r="AH26" s="137">
        <v>1</v>
      </c>
      <c r="AI26" s="13"/>
    </row>
    <row r="27" spans="1:35" s="142" customFormat="1" ht="30" customHeight="1" x14ac:dyDescent="0.25">
      <c r="A27" s="154">
        <v>91</v>
      </c>
      <c r="B27" s="133" t="str">
        <f t="shared" ca="1" si="0"/>
        <v>B.2.07</v>
      </c>
      <c r="C27" s="134">
        <f t="shared" ca="1" si="1"/>
        <v>5</v>
      </c>
      <c r="D27" s="92"/>
      <c r="E27" s="135" t="str">
        <f t="shared" ca="1" si="2"/>
        <v>B.2.07</v>
      </c>
      <c r="F27" s="157" t="str">
        <f t="shared" ca="1" si="3"/>
        <v>Have you identified technical issues that can affect the scope of the test or the security countermeasures in place to detect and deter attacks?</v>
      </c>
      <c r="G27" s="134"/>
      <c r="H27" s="156"/>
      <c r="I27" s="158"/>
      <c r="J27" s="156"/>
      <c r="K27" s="156"/>
      <c r="L27" s="156"/>
      <c r="M27" s="156"/>
      <c r="N27" s="137" t="str">
        <f t="shared" ca="1" si="4"/>
        <v>x 4</v>
      </c>
      <c r="O27" s="137" t="str">
        <f t="shared" ca="1" si="5"/>
        <v/>
      </c>
      <c r="P27" s="138"/>
      <c r="Q27" s="138"/>
      <c r="R27" s="134"/>
      <c r="S27" s="134"/>
      <c r="T27" s="134"/>
      <c r="U27" s="134"/>
      <c r="V27" s="134"/>
      <c r="W27" s="134"/>
      <c r="X27" s="134"/>
      <c r="Y27" s="134"/>
      <c r="Z27" s="139"/>
      <c r="AA27" s="134"/>
      <c r="AB27" s="134"/>
      <c r="AC27" s="134"/>
      <c r="AD27" s="134"/>
      <c r="AE27" s="134"/>
      <c r="AF27" s="134"/>
      <c r="AG27" s="134"/>
      <c r="AH27" s="141">
        <v>1</v>
      </c>
      <c r="AI27" s="13"/>
    </row>
    <row r="28" spans="1:35" s="142" customFormat="1" ht="90" x14ac:dyDescent="0.25">
      <c r="A28" s="154">
        <v>92</v>
      </c>
      <c r="B28" s="133" t="str">
        <f t="shared" ca="1" si="0"/>
        <v/>
      </c>
      <c r="C28" s="134">
        <f t="shared" ca="1" si="1"/>
        <v>3</v>
      </c>
      <c r="D28" s="92"/>
      <c r="E28" s="135" t="str">
        <f t="shared" ca="1" si="2"/>
        <v/>
      </c>
      <c r="F28" s="155" t="str">
        <f t="shared" ca="1" si="3"/>
        <v>Methods of dealing with technical testing constraints can include Implementing policy exceptions; allowing for vulnerabilities that will not be discovered if the testing is undertaken from outside your network; adopting a practical scope that will meet your requirements; and ensuring that the test simulation comes very close to replicating a real malicious attack.</v>
      </c>
      <c r="G28" s="155"/>
      <c r="H28" s="155"/>
      <c r="I28" s="155"/>
      <c r="J28" s="155"/>
      <c r="K28" s="155"/>
      <c r="L28" s="155"/>
      <c r="M28" s="155"/>
      <c r="N28" s="137" t="str">
        <f t="shared" ca="1" si="4"/>
        <v/>
      </c>
      <c r="O28" s="134" t="str">
        <f t="shared" ca="1" si="5"/>
        <v/>
      </c>
      <c r="P28" s="138"/>
      <c r="Q28" s="138"/>
      <c r="R28" s="134"/>
      <c r="S28" s="134"/>
      <c r="T28" s="134"/>
      <c r="U28" s="134"/>
      <c r="V28" s="134"/>
      <c r="W28" s="134"/>
      <c r="X28" s="134"/>
      <c r="Y28" s="134"/>
      <c r="Z28" s="139"/>
      <c r="AA28" s="134"/>
      <c r="AB28" s="134"/>
      <c r="AC28" s="134"/>
      <c r="AD28" s="134"/>
      <c r="AE28" s="134"/>
      <c r="AF28" s="134"/>
      <c r="AG28" s="134"/>
      <c r="AH28" s="137">
        <v>1</v>
      </c>
      <c r="AI28" s="13"/>
    </row>
    <row r="29" spans="1:35" s="142" customFormat="1" ht="30" customHeight="1" x14ac:dyDescent="0.25">
      <c r="A29" s="154">
        <v>93</v>
      </c>
      <c r="B29" s="133" t="str">
        <f t="shared" ca="1" si="0"/>
        <v>B.2.08</v>
      </c>
      <c r="C29" s="134">
        <f t="shared" ca="1" si="1"/>
        <v>5</v>
      </c>
      <c r="D29" s="92"/>
      <c r="E29" s="135" t="str">
        <f t="shared" ca="1" si="2"/>
        <v>B.2.08</v>
      </c>
      <c r="F29" s="157" t="str">
        <f t="shared" ca="1" si="3"/>
        <v>Have you determined how you will make sure that all parties adhere to testing constraints?</v>
      </c>
      <c r="G29" s="134"/>
      <c r="H29" s="156"/>
      <c r="I29" s="158"/>
      <c r="J29" s="156"/>
      <c r="K29" s="156"/>
      <c r="L29" s="156"/>
      <c r="M29" s="156"/>
      <c r="N29" s="137" t="str">
        <f t="shared" ca="1" si="4"/>
        <v>x 5</v>
      </c>
      <c r="O29" s="137" t="str">
        <f t="shared" ca="1" si="5"/>
        <v/>
      </c>
      <c r="P29" s="138"/>
      <c r="Q29" s="138"/>
      <c r="R29" s="134"/>
      <c r="S29" s="134"/>
      <c r="T29" s="134"/>
      <c r="U29" s="134"/>
      <c r="V29" s="134"/>
      <c r="W29" s="134"/>
      <c r="X29" s="134"/>
      <c r="Y29" s="134"/>
      <c r="Z29" s="139"/>
      <c r="AA29" s="134"/>
      <c r="AB29" s="134"/>
      <c r="AC29" s="134"/>
      <c r="AD29" s="134"/>
      <c r="AE29" s="134"/>
      <c r="AF29" s="134"/>
      <c r="AG29" s="134"/>
      <c r="AH29" s="141">
        <v>1</v>
      </c>
      <c r="AI29" s="13"/>
    </row>
    <row r="30" spans="1:35" s="142" customFormat="1" ht="30" customHeight="1" x14ac:dyDescent="0.25">
      <c r="A30" s="151">
        <v>94</v>
      </c>
      <c r="B30" s="133" t="str">
        <f t="shared" ca="1" si="0"/>
        <v>B.3</v>
      </c>
      <c r="C30" s="134">
        <f t="shared" ca="1" si="1"/>
        <v>2</v>
      </c>
      <c r="D30" s="92"/>
      <c r="E30" s="159" t="str">
        <f t="shared" ca="1" si="2"/>
        <v>Step 3</v>
      </c>
      <c r="F30" s="160" t="str">
        <f t="shared" ca="1" si="3"/>
        <v>Produce scope statements</v>
      </c>
      <c r="G30" s="160"/>
      <c r="H30" s="160"/>
      <c r="I30" s="160"/>
      <c r="J30" s="160"/>
      <c r="K30" s="160"/>
      <c r="L30" s="160"/>
      <c r="M30" s="160"/>
      <c r="N30" s="160" t="str">
        <f t="shared" ca="1" si="4"/>
        <v/>
      </c>
      <c r="O30" s="160" t="str">
        <f t="shared" ca="1" si="5"/>
        <v/>
      </c>
      <c r="P30" s="160"/>
      <c r="Q30" s="160"/>
      <c r="R30" s="160"/>
      <c r="S30" s="160"/>
      <c r="T30" s="160"/>
      <c r="U30" s="160"/>
      <c r="V30" s="160"/>
      <c r="W30" s="160"/>
      <c r="X30" s="160"/>
      <c r="Y30" s="160"/>
      <c r="Z30" s="160"/>
      <c r="AA30" s="160"/>
      <c r="AB30" s="160"/>
      <c r="AC30" s="160"/>
      <c r="AD30" s="160"/>
      <c r="AE30" s="160"/>
      <c r="AF30" s="160"/>
      <c r="AG30" s="160"/>
      <c r="AH30" s="141">
        <v>1</v>
      </c>
      <c r="AI30" s="13"/>
    </row>
    <row r="31" spans="1:35" s="142" customFormat="1" ht="30" customHeight="1" x14ac:dyDescent="0.25">
      <c r="A31" s="154">
        <v>95</v>
      </c>
      <c r="B31" s="133" t="str">
        <f t="shared" ca="1" si="0"/>
        <v>B.3.01</v>
      </c>
      <c r="C31" s="134">
        <f t="shared" ca="1" si="1"/>
        <v>5</v>
      </c>
      <c r="D31" s="92"/>
      <c r="E31" s="135" t="str">
        <f t="shared" ca="1" si="2"/>
        <v>B.3.01</v>
      </c>
      <c r="F31" s="157" t="str">
        <f t="shared" ca="1" si="3"/>
        <v>Do you formally define the scope of penetration tests prior to tests commencing?</v>
      </c>
      <c r="G31" s="134"/>
      <c r="H31" s="156"/>
      <c r="I31" s="158"/>
      <c r="J31" s="156"/>
      <c r="K31" s="156"/>
      <c r="L31" s="156"/>
      <c r="M31" s="156"/>
      <c r="N31" s="137" t="str">
        <f t="shared" ca="1" si="4"/>
        <v>x 1</v>
      </c>
      <c r="O31" s="137" t="str">
        <f t="shared" ca="1" si="5"/>
        <v/>
      </c>
      <c r="P31" s="138"/>
      <c r="Q31" s="138"/>
      <c r="R31" s="134"/>
      <c r="S31" s="134"/>
      <c r="T31" s="134"/>
      <c r="U31" s="134"/>
      <c r="V31" s="134"/>
      <c r="W31" s="134"/>
      <c r="X31" s="134"/>
      <c r="Y31" s="134"/>
      <c r="Z31" s="139"/>
      <c r="AA31" s="134"/>
      <c r="AB31" s="134"/>
      <c r="AC31" s="134"/>
      <c r="AD31" s="134"/>
      <c r="AE31" s="134"/>
      <c r="AF31" s="134"/>
      <c r="AG31" s="134"/>
      <c r="AH31" s="141">
        <v>1</v>
      </c>
      <c r="AI31" s="13"/>
    </row>
    <row r="32" spans="1:35" s="142" customFormat="1" ht="30" customHeight="1" x14ac:dyDescent="0.25">
      <c r="A32" s="154">
        <v>96</v>
      </c>
      <c r="B32" s="133" t="str">
        <f t="shared" ca="1" si="0"/>
        <v>B.3.02</v>
      </c>
      <c r="C32" s="134">
        <f t="shared" ca="1" si="1"/>
        <v>5</v>
      </c>
      <c r="D32" s="92"/>
      <c r="E32" s="135" t="str">
        <f t="shared" ca="1" si="2"/>
        <v>B.3.02</v>
      </c>
      <c r="F32" s="157" t="str">
        <f t="shared" ca="1" si="3"/>
        <v>Is the scope of penetration tests recorded in a formal document, such as a scope statement, that is signed-off by all relevant parties?</v>
      </c>
      <c r="G32" s="134"/>
      <c r="H32" s="156"/>
      <c r="I32" s="158"/>
      <c r="J32" s="156"/>
      <c r="K32" s="156"/>
      <c r="L32" s="156"/>
      <c r="M32" s="156"/>
      <c r="N32" s="137" t="str">
        <f t="shared" ca="1" si="4"/>
        <v>x 2</v>
      </c>
      <c r="O32" s="137" t="str">
        <f t="shared" ca="1" si="5"/>
        <v/>
      </c>
      <c r="P32" s="138"/>
      <c r="Q32" s="138"/>
      <c r="R32" s="134"/>
      <c r="S32" s="134"/>
      <c r="T32" s="134"/>
      <c r="U32" s="134"/>
      <c r="V32" s="134"/>
      <c r="W32" s="134"/>
      <c r="X32" s="134"/>
      <c r="Y32" s="134"/>
      <c r="Z32" s="139"/>
      <c r="AA32" s="134"/>
      <c r="AB32" s="134"/>
      <c r="AC32" s="134"/>
      <c r="AD32" s="134"/>
      <c r="AE32" s="134"/>
      <c r="AF32" s="134"/>
      <c r="AG32" s="134"/>
      <c r="AH32" s="141">
        <v>1</v>
      </c>
      <c r="AI32" s="13"/>
    </row>
    <row r="33" spans="1:35" s="142" customFormat="1" ht="60" x14ac:dyDescent="0.25">
      <c r="A33" s="154">
        <v>97</v>
      </c>
      <c r="B33" s="133" t="str">
        <f t="shared" ca="1" si="0"/>
        <v/>
      </c>
      <c r="C33" s="134">
        <f t="shared" ca="1" si="1"/>
        <v>3</v>
      </c>
      <c r="D33" s="92"/>
      <c r="E33" s="135" t="str">
        <f t="shared" ca="1" si="2"/>
        <v/>
      </c>
      <c r="F33" s="155" t="str">
        <f t="shared" ca="1" si="3"/>
        <v>Relevant parties (i.e. named individuals or groups) required to sign-off the scope statement should include authorised and suitably qualified individuals from all relevant parties; plus relevant, qualified individuals dependent on the value of the system being tested (or similar).</v>
      </c>
      <c r="G33" s="155"/>
      <c r="H33" s="155"/>
      <c r="I33" s="155"/>
      <c r="J33" s="155"/>
      <c r="K33" s="155"/>
      <c r="L33" s="155"/>
      <c r="M33" s="155"/>
      <c r="N33" s="137" t="str">
        <f t="shared" ca="1" si="4"/>
        <v/>
      </c>
      <c r="O33" s="134" t="str">
        <f t="shared" ca="1" si="5"/>
        <v/>
      </c>
      <c r="P33" s="138"/>
      <c r="Q33" s="138"/>
      <c r="R33" s="134"/>
      <c r="S33" s="134"/>
      <c r="T33" s="134"/>
      <c r="U33" s="134"/>
      <c r="V33" s="134"/>
      <c r="W33" s="134"/>
      <c r="X33" s="134"/>
      <c r="Y33" s="134"/>
      <c r="Z33" s="139"/>
      <c r="AA33" s="134"/>
      <c r="AB33" s="134"/>
      <c r="AC33" s="134"/>
      <c r="AD33" s="134"/>
      <c r="AE33" s="134"/>
      <c r="AF33" s="134"/>
      <c r="AG33" s="134"/>
      <c r="AH33" s="137">
        <v>1</v>
      </c>
      <c r="AI33" s="13"/>
    </row>
    <row r="34" spans="1:35" s="142" customFormat="1" ht="30" customHeight="1" x14ac:dyDescent="0.25">
      <c r="A34" s="154">
        <v>98</v>
      </c>
      <c r="B34" s="133" t="str">
        <f t="shared" ca="1" si="0"/>
        <v>B.3.03</v>
      </c>
      <c r="C34" s="134">
        <f t="shared" ca="1" si="1"/>
        <v>5</v>
      </c>
      <c r="D34" s="92"/>
      <c r="E34" s="135" t="str">
        <f t="shared" ca="1" si="2"/>
        <v>B.3.03</v>
      </c>
      <c r="F34" s="157" t="str">
        <f t="shared" ca="1" si="3"/>
        <v>Does your scope statement include a definition of the target environment?</v>
      </c>
      <c r="G34" s="134"/>
      <c r="H34" s="156"/>
      <c r="I34" s="158"/>
      <c r="J34" s="156"/>
      <c r="K34" s="156"/>
      <c r="L34" s="156"/>
      <c r="M34" s="156"/>
      <c r="N34" s="137" t="str">
        <f t="shared" ca="1" si="4"/>
        <v>x 3</v>
      </c>
      <c r="O34" s="137" t="str">
        <f t="shared" ca="1" si="5"/>
        <v/>
      </c>
      <c r="P34" s="138"/>
      <c r="Q34" s="138"/>
      <c r="R34" s="134"/>
      <c r="S34" s="134"/>
      <c r="T34" s="134"/>
      <c r="U34" s="134"/>
      <c r="V34" s="134"/>
      <c r="W34" s="134"/>
      <c r="X34" s="134"/>
      <c r="Y34" s="134"/>
      <c r="Z34" s="139"/>
      <c r="AA34" s="134"/>
      <c r="AB34" s="134"/>
      <c r="AC34" s="134"/>
      <c r="AD34" s="134"/>
      <c r="AE34" s="134"/>
      <c r="AF34" s="134"/>
      <c r="AG34" s="134"/>
      <c r="AH34" s="141">
        <v>1</v>
      </c>
      <c r="AI34" s="13"/>
    </row>
    <row r="35" spans="1:35" s="142" customFormat="1" ht="105" x14ac:dyDescent="0.25">
      <c r="A35" s="154">
        <v>99</v>
      </c>
      <c r="B35" s="133" t="str">
        <f t="shared" ca="1" si="0"/>
        <v/>
      </c>
      <c r="C35" s="134">
        <f t="shared" ca="1" si="1"/>
        <v>3</v>
      </c>
      <c r="D35" s="92"/>
      <c r="E35" s="135" t="str">
        <f t="shared" ca="1" si="2"/>
        <v/>
      </c>
      <c r="F35" s="155" t="str">
        <f t="shared" ca="1" si="3"/>
        <v>The definition of the target environment should include: which systems are in and out of scope; the testing approach being adopted (e.g. black, white or grey box); types of test that are prohibited (e.g. ‘denial of service’ type testing); where the testing team will need to be in order to conduct the testing (e.g. on the customer’s site or at the test service provider’s premises); and approvals required for various elements of the testing to go ahead.</v>
      </c>
      <c r="G35" s="155"/>
      <c r="H35" s="155"/>
      <c r="I35" s="155"/>
      <c r="J35" s="155"/>
      <c r="K35" s="155"/>
      <c r="L35" s="155"/>
      <c r="M35" s="155"/>
      <c r="N35" s="137" t="str">
        <f t="shared" ca="1" si="4"/>
        <v/>
      </c>
      <c r="O35" s="134" t="str">
        <f t="shared" ca="1" si="5"/>
        <v/>
      </c>
      <c r="P35" s="138"/>
      <c r="Q35" s="138"/>
      <c r="R35" s="134"/>
      <c r="S35" s="134"/>
      <c r="T35" s="134"/>
      <c r="U35" s="134"/>
      <c r="V35" s="134"/>
      <c r="W35" s="134"/>
      <c r="X35" s="134"/>
      <c r="Y35" s="134"/>
      <c r="Z35" s="139"/>
      <c r="AA35" s="134"/>
      <c r="AB35" s="134"/>
      <c r="AC35" s="134"/>
      <c r="AD35" s="134"/>
      <c r="AE35" s="134"/>
      <c r="AF35" s="134"/>
      <c r="AG35" s="134"/>
      <c r="AH35" s="137">
        <v>1</v>
      </c>
      <c r="AI35" s="13"/>
    </row>
    <row r="36" spans="1:35" s="142" customFormat="1" ht="30" customHeight="1" x14ac:dyDescent="0.25">
      <c r="A36" s="154">
        <v>100</v>
      </c>
      <c r="B36" s="133" t="str">
        <f t="shared" ca="1" si="0"/>
        <v>B.3.04</v>
      </c>
      <c r="C36" s="134">
        <f t="shared" ca="1" si="1"/>
        <v>5</v>
      </c>
      <c r="D36" s="92"/>
      <c r="E36" s="135" t="str">
        <f t="shared" ca="1" si="2"/>
        <v>B.3.04</v>
      </c>
      <c r="F36" s="157" t="str">
        <f t="shared" ca="1" si="3"/>
        <v>Does your scope statement specify resourcing requirements?</v>
      </c>
      <c r="G36" s="134"/>
      <c r="H36" s="156"/>
      <c r="I36" s="158"/>
      <c r="J36" s="156"/>
      <c r="K36" s="156"/>
      <c r="L36" s="156"/>
      <c r="M36" s="156"/>
      <c r="N36" s="137" t="str">
        <f t="shared" ca="1" si="4"/>
        <v>x 3</v>
      </c>
      <c r="O36" s="137" t="str">
        <f t="shared" ca="1" si="5"/>
        <v/>
      </c>
      <c r="P36" s="138"/>
      <c r="Q36" s="138"/>
      <c r="R36" s="134"/>
      <c r="S36" s="134"/>
      <c r="T36" s="134"/>
      <c r="U36" s="134"/>
      <c r="V36" s="134"/>
      <c r="W36" s="134"/>
      <c r="X36" s="134"/>
      <c r="Y36" s="134"/>
      <c r="Z36" s="139"/>
      <c r="AA36" s="134"/>
      <c r="AB36" s="134"/>
      <c r="AC36" s="134"/>
      <c r="AD36" s="134"/>
      <c r="AE36" s="134"/>
      <c r="AF36" s="134"/>
      <c r="AG36" s="134"/>
      <c r="AH36" s="141">
        <v>1</v>
      </c>
      <c r="AI36" s="13"/>
    </row>
    <row r="37" spans="1:35" s="142" customFormat="1" ht="105" x14ac:dyDescent="0.25">
      <c r="A37" s="154">
        <v>101</v>
      </c>
      <c r="B37" s="133" t="str">
        <f t="shared" ca="1" si="0"/>
        <v/>
      </c>
      <c r="C37" s="134">
        <f t="shared" ca="1" si="1"/>
        <v>3</v>
      </c>
      <c r="D37" s="92"/>
      <c r="E37" s="135" t="str">
        <f t="shared" ca="1" si="2"/>
        <v/>
      </c>
      <c r="F37" s="155" t="str">
        <f t="shared" ca="1" si="3"/>
        <v>Resourcing requirements should specify who will be leading the testing engagement, the names of testers that will be used for the testing engagement (with details about their roles, skills, experience, qualifications and backgrounds) and the number of days required (including the days on which testing will take place) – and require a disclaimer stating that they are legally authorised to carry out specified activity on your property and systems.</v>
      </c>
      <c r="G37" s="155"/>
      <c r="H37" s="155"/>
      <c r="I37" s="155"/>
      <c r="J37" s="155"/>
      <c r="K37" s="155"/>
      <c r="L37" s="155"/>
      <c r="M37" s="155"/>
      <c r="N37" s="137" t="str">
        <f t="shared" ca="1" si="4"/>
        <v/>
      </c>
      <c r="O37" s="134" t="str">
        <f t="shared" ca="1" si="5"/>
        <v/>
      </c>
      <c r="P37" s="138"/>
      <c r="Q37" s="138"/>
      <c r="R37" s="134"/>
      <c r="S37" s="134"/>
      <c r="T37" s="134"/>
      <c r="U37" s="134"/>
      <c r="V37" s="134"/>
      <c r="W37" s="134"/>
      <c r="X37" s="134"/>
      <c r="Y37" s="134"/>
      <c r="Z37" s="139"/>
      <c r="AA37" s="134"/>
      <c r="AB37" s="134"/>
      <c r="AC37" s="134"/>
      <c r="AD37" s="134"/>
      <c r="AE37" s="134"/>
      <c r="AF37" s="134"/>
      <c r="AG37" s="134"/>
      <c r="AH37" s="137">
        <v>1</v>
      </c>
      <c r="AI37" s="13"/>
    </row>
    <row r="38" spans="1:35" s="142" customFormat="1" ht="30" customHeight="1" x14ac:dyDescent="0.25">
      <c r="A38" s="154">
        <v>102</v>
      </c>
      <c r="B38" s="133" t="str">
        <f t="shared" ca="1" si="0"/>
        <v>B.3.05</v>
      </c>
      <c r="C38" s="134">
        <f t="shared" ca="1" si="1"/>
        <v>5</v>
      </c>
      <c r="D38" s="92"/>
      <c r="E38" s="135" t="str">
        <f t="shared" ca="1" si="2"/>
        <v>B.3.05</v>
      </c>
      <c r="F38" s="157" t="str">
        <f t="shared" ca="1" si="3"/>
        <v>Does your scope statement define liabilities?</v>
      </c>
      <c r="G38" s="134"/>
      <c r="H38" s="156"/>
      <c r="I38" s="158"/>
      <c r="J38" s="156"/>
      <c r="K38" s="156"/>
      <c r="L38" s="156"/>
      <c r="M38" s="156"/>
      <c r="N38" s="137" t="str">
        <f t="shared" ca="1" si="4"/>
        <v>x 5</v>
      </c>
      <c r="O38" s="137" t="str">
        <f t="shared" ca="1" si="5"/>
        <v/>
      </c>
      <c r="P38" s="138"/>
      <c r="Q38" s="138"/>
      <c r="R38" s="134"/>
      <c r="S38" s="134"/>
      <c r="T38" s="134"/>
      <c r="U38" s="134"/>
      <c r="V38" s="134"/>
      <c r="W38" s="134"/>
      <c r="X38" s="134"/>
      <c r="Y38" s="134"/>
      <c r="Z38" s="139"/>
      <c r="AA38" s="134"/>
      <c r="AB38" s="134"/>
      <c r="AC38" s="134"/>
      <c r="AD38" s="134"/>
      <c r="AE38" s="134"/>
      <c r="AF38" s="134"/>
      <c r="AG38" s="134"/>
      <c r="AH38" s="141">
        <v>1</v>
      </c>
      <c r="AI38" s="13"/>
    </row>
    <row r="39" spans="1:35" s="142" customFormat="1" ht="60" x14ac:dyDescent="0.25">
      <c r="A39" s="154">
        <v>103</v>
      </c>
      <c r="B39" s="133" t="str">
        <f t="shared" ca="1" si="0"/>
        <v/>
      </c>
      <c r="C39" s="134">
        <f t="shared" ca="1" si="1"/>
        <v>3</v>
      </c>
      <c r="D39" s="92"/>
      <c r="E39" s="135" t="str">
        <f t="shared" ca="1" si="2"/>
        <v/>
      </c>
      <c r="F39" s="155" t="str">
        <f t="shared" ca="1" si="3"/>
        <v>The definition of liabilities in the scope statement should specify the steps required by both parties should problems (e.g. slippage) arise and the details of liability (indemnity) insurance to be held by the testing service provider.</v>
      </c>
      <c r="G39" s="155"/>
      <c r="H39" s="155"/>
      <c r="I39" s="155"/>
      <c r="J39" s="155"/>
      <c r="K39" s="155"/>
      <c r="L39" s="155"/>
      <c r="M39" s="155"/>
      <c r="N39" s="137" t="str">
        <f t="shared" ca="1" si="4"/>
        <v/>
      </c>
      <c r="O39" s="134" t="str">
        <f t="shared" ca="1" si="5"/>
        <v/>
      </c>
      <c r="P39" s="138"/>
      <c r="Q39" s="138"/>
      <c r="R39" s="134"/>
      <c r="S39" s="134"/>
      <c r="T39" s="134"/>
      <c r="U39" s="134"/>
      <c r="V39" s="134"/>
      <c r="W39" s="134"/>
      <c r="X39" s="134"/>
      <c r="Y39" s="134"/>
      <c r="Z39" s="139"/>
      <c r="AA39" s="134"/>
      <c r="AB39" s="134"/>
      <c r="AC39" s="134"/>
      <c r="AD39" s="134"/>
      <c r="AE39" s="134"/>
      <c r="AF39" s="134"/>
      <c r="AG39" s="134"/>
      <c r="AH39" s="137">
        <v>1</v>
      </c>
      <c r="AI39" s="13"/>
    </row>
    <row r="40" spans="1:35" s="142" customFormat="1" ht="30" customHeight="1" x14ac:dyDescent="0.25">
      <c r="A40" s="154">
        <v>104</v>
      </c>
      <c r="B40" s="133" t="str">
        <f t="shared" ref="B40:B71" ca="1" si="6">VLOOKUP(A40,Contents_Text,2,FALSE)</f>
        <v>B.3.06</v>
      </c>
      <c r="C40" s="134">
        <f t="shared" ref="C40:C71" ca="1" si="7">VLOOKUP(A40,Contents_Text,15,FALSE)</f>
        <v>5</v>
      </c>
      <c r="D40" s="92"/>
      <c r="E40" s="135" t="str">
        <f t="shared" ref="E40:E71" ca="1" si="8">IF(C40=1,"Phase "&amp;B40,IF(C40=2,"Step "&amp;VLOOKUP(A40,Contents_Text,4,FALSE),B40))</f>
        <v>B.3.06</v>
      </c>
      <c r="F40" s="157" t="str">
        <f t="shared" ref="F40:F71" ca="1" si="9">VLOOKUP(A40,Contents_Text,7,FALSE)</f>
        <v>Does your scope statement include follow-up activities?</v>
      </c>
      <c r="G40" s="134"/>
      <c r="H40" s="156"/>
      <c r="I40" s="158"/>
      <c r="J40" s="156"/>
      <c r="K40" s="156"/>
      <c r="L40" s="156"/>
      <c r="M40" s="156"/>
      <c r="N40" s="137" t="str">
        <f t="shared" ref="N40:N71" ca="1" si="10">IFERROR(IF(VLOOKUP(A40,Weightings_Assessments,25,FALSE)=0,"",VLOOKUP(A40,Weightings_Assessments,25,FALSE)),"")</f>
        <v>x 3</v>
      </c>
      <c r="O40" s="137" t="str">
        <f t="shared" ref="O40:O71" ca="1" si="11">IFERROR(VLOOKUP(AH40,detail_maturity_score,3,FALSE)*VLOOKUP(A40,Weightings_Assessments,23,FALSE),"")</f>
        <v/>
      </c>
      <c r="P40" s="138"/>
      <c r="Q40" s="138"/>
      <c r="R40" s="134"/>
      <c r="S40" s="134"/>
      <c r="T40" s="134"/>
      <c r="U40" s="134"/>
      <c r="V40" s="134"/>
      <c r="W40" s="134"/>
      <c r="X40" s="134"/>
      <c r="Y40" s="134"/>
      <c r="Z40" s="139"/>
      <c r="AA40" s="134"/>
      <c r="AB40" s="134"/>
      <c r="AC40" s="134"/>
      <c r="AD40" s="134"/>
      <c r="AE40" s="134"/>
      <c r="AF40" s="134"/>
      <c r="AG40" s="134"/>
      <c r="AH40" s="141">
        <v>1</v>
      </c>
      <c r="AI40" s="13"/>
    </row>
    <row r="41" spans="1:35" s="142" customFormat="1" ht="60" x14ac:dyDescent="0.25">
      <c r="A41" s="154">
        <v>105</v>
      </c>
      <c r="B41" s="133" t="str">
        <f t="shared" ca="1" si="6"/>
        <v/>
      </c>
      <c r="C41" s="134">
        <f t="shared" ca="1" si="7"/>
        <v>3</v>
      </c>
      <c r="D41" s="92"/>
      <c r="E41" s="135" t="str">
        <f t="shared" ca="1" si="8"/>
        <v/>
      </c>
      <c r="F41" s="155" t="str">
        <f t="shared" ca="1" si="9"/>
        <v>Follow-up activities should include presentation of key findings and recommendations to senior management and any re-testing needed once mitigations have been made for the discovered vulnerabilities’ required by both parties should problems (e.g. slippage) arise.</v>
      </c>
      <c r="G41" s="155"/>
      <c r="H41" s="155"/>
      <c r="I41" s="155"/>
      <c r="J41" s="155"/>
      <c r="K41" s="155"/>
      <c r="L41" s="155"/>
      <c r="M41" s="155"/>
      <c r="N41" s="137" t="str">
        <f t="shared" ca="1" si="10"/>
        <v/>
      </c>
      <c r="O41" s="134" t="str">
        <f t="shared" ca="1" si="11"/>
        <v/>
      </c>
      <c r="P41" s="138"/>
      <c r="Q41" s="138"/>
      <c r="R41" s="134"/>
      <c r="S41" s="134"/>
      <c r="T41" s="134"/>
      <c r="U41" s="134"/>
      <c r="V41" s="134"/>
      <c r="W41" s="134"/>
      <c r="X41" s="134"/>
      <c r="Y41" s="134"/>
      <c r="Z41" s="139"/>
      <c r="AA41" s="134"/>
      <c r="AB41" s="134"/>
      <c r="AC41" s="134"/>
      <c r="AD41" s="134"/>
      <c r="AE41" s="134"/>
      <c r="AF41" s="134"/>
      <c r="AG41" s="134"/>
      <c r="AH41" s="137">
        <v>1</v>
      </c>
      <c r="AI41" s="13"/>
    </row>
    <row r="42" spans="1:35" s="142" customFormat="1" ht="30" customHeight="1" x14ac:dyDescent="0.25">
      <c r="A42" s="154">
        <v>106</v>
      </c>
      <c r="B42" s="133" t="str">
        <f t="shared" ca="1" si="6"/>
        <v>B.3.07</v>
      </c>
      <c r="C42" s="134">
        <f t="shared" ca="1" si="7"/>
        <v>5</v>
      </c>
      <c r="D42" s="92"/>
      <c r="E42" s="135" t="str">
        <f t="shared" ca="1" si="8"/>
        <v>B.3.07</v>
      </c>
      <c r="F42" s="157" t="str">
        <f t="shared" ca="1" si="9"/>
        <v>Do you formally define reporting requirements for your penetration testing prior to tests commencing?</v>
      </c>
      <c r="G42" s="134"/>
      <c r="H42" s="156"/>
      <c r="I42" s="158"/>
      <c r="J42" s="156"/>
      <c r="K42" s="156"/>
      <c r="L42" s="156"/>
      <c r="M42" s="156"/>
      <c r="N42" s="137" t="str">
        <f t="shared" ca="1" si="10"/>
        <v>x 1</v>
      </c>
      <c r="O42" s="137" t="str">
        <f t="shared" ca="1" si="11"/>
        <v/>
      </c>
      <c r="P42" s="138"/>
      <c r="Q42" s="138"/>
      <c r="R42" s="134"/>
      <c r="S42" s="134"/>
      <c r="T42" s="134"/>
      <c r="U42" s="134"/>
      <c r="V42" s="134"/>
      <c r="W42" s="134"/>
      <c r="X42" s="134"/>
      <c r="Y42" s="134"/>
      <c r="Z42" s="139"/>
      <c r="AA42" s="134"/>
      <c r="AB42" s="134"/>
      <c r="AC42" s="134"/>
      <c r="AD42" s="134"/>
      <c r="AE42" s="134"/>
      <c r="AF42" s="134"/>
      <c r="AG42" s="134"/>
      <c r="AH42" s="141">
        <v>1</v>
      </c>
      <c r="AI42" s="13"/>
    </row>
    <row r="43" spans="1:35" s="142" customFormat="1" ht="60" x14ac:dyDescent="0.25">
      <c r="A43" s="154">
        <v>107</v>
      </c>
      <c r="B43" s="133" t="str">
        <f t="shared" ca="1" si="6"/>
        <v>B.3.08</v>
      </c>
      <c r="C43" s="134">
        <f t="shared" ca="1" si="7"/>
        <v>5</v>
      </c>
      <c r="D43" s="92"/>
      <c r="E43" s="135" t="str">
        <f t="shared" ca="1" si="8"/>
        <v>B.3.08</v>
      </c>
      <c r="F43" s="157" t="str">
        <f t="shared" ca="1" si="9"/>
        <v>Do your reporting requirements specify the format and type of content to be used in the test report (template often used; when the test report will be delivered (not later than a few days after completion of the test); and how the test report will be delivered (electronic and / or physical)?</v>
      </c>
      <c r="G43" s="134"/>
      <c r="H43" s="156"/>
      <c r="I43" s="158"/>
      <c r="J43" s="156"/>
      <c r="K43" s="156"/>
      <c r="L43" s="156"/>
      <c r="M43" s="156"/>
      <c r="N43" s="137" t="str">
        <f t="shared" ca="1" si="10"/>
        <v>x 3</v>
      </c>
      <c r="O43" s="137" t="str">
        <f t="shared" ca="1" si="11"/>
        <v/>
      </c>
      <c r="P43" s="138"/>
      <c r="Q43" s="138"/>
      <c r="R43" s="134"/>
      <c r="S43" s="134"/>
      <c r="T43" s="134"/>
      <c r="U43" s="134"/>
      <c r="V43" s="134"/>
      <c r="W43" s="134"/>
      <c r="X43" s="134"/>
      <c r="Y43" s="134"/>
      <c r="Z43" s="139"/>
      <c r="AA43" s="134"/>
      <c r="AB43" s="134"/>
      <c r="AC43" s="134"/>
      <c r="AD43" s="134"/>
      <c r="AE43" s="134"/>
      <c r="AF43" s="134"/>
      <c r="AG43" s="134"/>
      <c r="AH43" s="141">
        <v>1</v>
      </c>
      <c r="AI43" s="13"/>
    </row>
    <row r="44" spans="1:35" s="142" customFormat="1" ht="30" customHeight="1" x14ac:dyDescent="0.25">
      <c r="A44" s="151">
        <v>108</v>
      </c>
      <c r="B44" s="133" t="str">
        <f t="shared" ca="1" si="6"/>
        <v>B.4</v>
      </c>
      <c r="C44" s="134">
        <f t="shared" ca="1" si="7"/>
        <v>2</v>
      </c>
      <c r="D44" s="20"/>
      <c r="E44" s="159" t="str">
        <f t="shared" ca="1" si="8"/>
        <v>Step 4</v>
      </c>
      <c r="F44" s="160" t="str">
        <f t="shared" ca="1" si="9"/>
        <v>Establish a management assurance framework</v>
      </c>
      <c r="G44" s="160"/>
      <c r="H44" s="160"/>
      <c r="I44" s="160"/>
      <c r="J44" s="160"/>
      <c r="K44" s="160"/>
      <c r="L44" s="160"/>
      <c r="M44" s="160"/>
      <c r="N44" s="160" t="str">
        <f t="shared" ca="1" si="10"/>
        <v/>
      </c>
      <c r="O44" s="160" t="str">
        <f t="shared" ca="1" si="11"/>
        <v/>
      </c>
      <c r="P44" s="160"/>
      <c r="Q44" s="160"/>
      <c r="R44" s="160"/>
      <c r="S44" s="160"/>
      <c r="T44" s="160"/>
      <c r="U44" s="160"/>
      <c r="V44" s="160"/>
      <c r="W44" s="160"/>
      <c r="X44" s="160"/>
      <c r="Y44" s="160"/>
      <c r="Z44" s="160"/>
      <c r="AA44" s="160"/>
      <c r="AB44" s="160"/>
      <c r="AC44" s="160"/>
      <c r="AD44" s="160"/>
      <c r="AE44" s="160"/>
      <c r="AF44" s="160"/>
      <c r="AG44" s="160"/>
      <c r="AH44" s="141">
        <v>1</v>
      </c>
      <c r="AI44" s="13"/>
    </row>
    <row r="45" spans="1:35" s="142" customFormat="1" ht="45" x14ac:dyDescent="0.25">
      <c r="A45" s="154">
        <v>109</v>
      </c>
      <c r="B45" s="133" t="str">
        <f t="shared" ca="1" si="6"/>
        <v>B.4.01</v>
      </c>
      <c r="C45" s="134">
        <f t="shared" ca="1" si="7"/>
        <v>5</v>
      </c>
      <c r="D45" s="20"/>
      <c r="E45" s="135" t="str">
        <f t="shared" ca="1" si="8"/>
        <v>B.4.01</v>
      </c>
      <c r="F45" s="157" t="str">
        <f t="shared" ca="1" si="9"/>
        <v>Are you aware that responsibility for the actual systems and data during penetration testing – and any assurance about them - rests with your organisation?</v>
      </c>
      <c r="G45" s="134"/>
      <c r="H45" s="156"/>
      <c r="I45" s="158"/>
      <c r="J45" s="156"/>
      <c r="K45" s="156"/>
      <c r="L45" s="156"/>
      <c r="M45" s="156"/>
      <c r="N45" s="137" t="str">
        <f t="shared" ca="1" si="10"/>
        <v>x 1</v>
      </c>
      <c r="O45" s="137" t="str">
        <f t="shared" ca="1" si="11"/>
        <v/>
      </c>
      <c r="P45" s="138"/>
      <c r="Q45" s="138"/>
      <c r="R45" s="134"/>
      <c r="S45" s="134"/>
      <c r="T45" s="134"/>
      <c r="U45" s="134"/>
      <c r="V45" s="134"/>
      <c r="W45" s="134"/>
      <c r="X45" s="134"/>
      <c r="Y45" s="134"/>
      <c r="Z45" s="139"/>
      <c r="AA45" s="134"/>
      <c r="AB45" s="134"/>
      <c r="AC45" s="134"/>
      <c r="AD45" s="134"/>
      <c r="AE45" s="134"/>
      <c r="AF45" s="134"/>
      <c r="AG45" s="134"/>
      <c r="AH45" s="141">
        <v>1</v>
      </c>
      <c r="AI45" s="13"/>
    </row>
    <row r="46" spans="1:35" s="142" customFormat="1" ht="30" customHeight="1" x14ac:dyDescent="0.25">
      <c r="A46" s="154">
        <v>110</v>
      </c>
      <c r="B46" s="133" t="str">
        <f t="shared" ca="1" si="6"/>
        <v>B.4.02</v>
      </c>
      <c r="C46" s="134">
        <f t="shared" ca="1" si="7"/>
        <v>5</v>
      </c>
      <c r="D46" s="20"/>
      <c r="E46" s="135" t="str">
        <f t="shared" ca="1" si="8"/>
        <v>B.4.02</v>
      </c>
      <c r="F46" s="157" t="str">
        <f t="shared" ca="1" si="9"/>
        <v>Have you created a documented management assurance framework to help manage all aspects of penetration tests?</v>
      </c>
      <c r="G46" s="134"/>
      <c r="H46" s="156"/>
      <c r="I46" s="158"/>
      <c r="J46" s="156"/>
      <c r="K46" s="156"/>
      <c r="L46" s="156"/>
      <c r="M46" s="156"/>
      <c r="N46" s="137" t="str">
        <f t="shared" ca="1" si="10"/>
        <v>x 2</v>
      </c>
      <c r="O46" s="137" t="str">
        <f t="shared" ca="1" si="11"/>
        <v/>
      </c>
      <c r="P46" s="138"/>
      <c r="Q46" s="138"/>
      <c r="R46" s="134"/>
      <c r="S46" s="134"/>
      <c r="T46" s="134"/>
      <c r="U46" s="134"/>
      <c r="V46" s="134"/>
      <c r="W46" s="134"/>
      <c r="X46" s="134"/>
      <c r="Y46" s="134"/>
      <c r="Z46" s="139"/>
      <c r="AA46" s="134"/>
      <c r="AB46" s="134"/>
      <c r="AC46" s="134"/>
      <c r="AD46" s="134"/>
      <c r="AE46" s="134"/>
      <c r="AF46" s="134"/>
      <c r="AG46" s="134"/>
      <c r="AH46" s="141">
        <v>1</v>
      </c>
      <c r="AI46" s="13"/>
    </row>
    <row r="47" spans="1:35" s="142" customFormat="1" ht="45" x14ac:dyDescent="0.25">
      <c r="A47" s="154">
        <v>111</v>
      </c>
      <c r="B47" s="133" t="str">
        <f t="shared" ca="1" si="6"/>
        <v>B.4.03</v>
      </c>
      <c r="C47" s="134">
        <f t="shared" ca="1" si="7"/>
        <v>5</v>
      </c>
      <c r="D47" s="20"/>
      <c r="E47" s="135" t="str">
        <f t="shared" ca="1" si="8"/>
        <v>B.4.03</v>
      </c>
      <c r="F47" s="157" t="str">
        <f t="shared" ca="1" si="9"/>
        <v>Does your management assurance framework provide assurance to stakeholders that the objectives of penetration tests are achieved (i.e. business requirements are met)?</v>
      </c>
      <c r="G47" s="134"/>
      <c r="H47" s="156"/>
      <c r="I47" s="158"/>
      <c r="J47" s="156"/>
      <c r="K47" s="156"/>
      <c r="L47" s="156"/>
      <c r="M47" s="156"/>
      <c r="N47" s="137" t="str">
        <f t="shared" ca="1" si="10"/>
        <v>x 5</v>
      </c>
      <c r="O47" s="137" t="str">
        <f t="shared" ca="1" si="11"/>
        <v/>
      </c>
      <c r="P47" s="138"/>
      <c r="Q47" s="138"/>
      <c r="R47" s="134"/>
      <c r="S47" s="134"/>
      <c r="T47" s="134"/>
      <c r="U47" s="134"/>
      <c r="V47" s="134"/>
      <c r="W47" s="134"/>
      <c r="X47" s="134"/>
      <c r="Y47" s="134"/>
      <c r="Z47" s="139"/>
      <c r="AA47" s="134"/>
      <c r="AB47" s="134"/>
      <c r="AC47" s="134"/>
      <c r="AD47" s="134"/>
      <c r="AE47" s="134"/>
      <c r="AF47" s="134"/>
      <c r="AG47" s="134"/>
      <c r="AH47" s="141">
        <v>1</v>
      </c>
      <c r="AI47" s="13"/>
    </row>
    <row r="48" spans="1:35" s="142" customFormat="1" ht="75" x14ac:dyDescent="0.25">
      <c r="A48" s="154">
        <v>112</v>
      </c>
      <c r="B48" s="133" t="str">
        <f t="shared" ca="1" si="6"/>
        <v/>
      </c>
      <c r="C48" s="134">
        <f t="shared" ca="1" si="7"/>
        <v>3</v>
      </c>
      <c r="D48" s="20"/>
      <c r="E48" s="135" t="str">
        <f t="shared" ca="1" si="8"/>
        <v/>
      </c>
      <c r="F48" s="155" t="str">
        <f t="shared" ca="1" si="9"/>
        <v>The management assurance framework should provide assurance to stakeholders that contracts with service providers are defined, agreed, signed off and monitored and risks to your organisation (e.g. degradation or loss of services; disclosure of sensitive information) are kept to a minimum.</v>
      </c>
      <c r="G48" s="155"/>
      <c r="H48" s="155"/>
      <c r="I48" s="155"/>
      <c r="J48" s="155"/>
      <c r="K48" s="155"/>
      <c r="L48" s="155"/>
      <c r="M48" s="155"/>
      <c r="N48" s="137" t="str">
        <f t="shared" ca="1" si="10"/>
        <v/>
      </c>
      <c r="O48" s="134" t="str">
        <f t="shared" ca="1" si="11"/>
        <v/>
      </c>
      <c r="P48" s="138"/>
      <c r="Q48" s="138"/>
      <c r="R48" s="134"/>
      <c r="S48" s="134"/>
      <c r="T48" s="134"/>
      <c r="U48" s="134"/>
      <c r="V48" s="134"/>
      <c r="W48" s="134"/>
      <c r="X48" s="134"/>
      <c r="Y48" s="134"/>
      <c r="Z48" s="139"/>
      <c r="AA48" s="134"/>
      <c r="AB48" s="134"/>
      <c r="AC48" s="134"/>
      <c r="AD48" s="134"/>
      <c r="AE48" s="134"/>
      <c r="AF48" s="134"/>
      <c r="AG48" s="134"/>
      <c r="AH48" s="137">
        <v>1</v>
      </c>
      <c r="AI48" s="13"/>
    </row>
    <row r="49" spans="1:35" s="142" customFormat="1" ht="45" x14ac:dyDescent="0.25">
      <c r="A49" s="154">
        <v>113</v>
      </c>
      <c r="B49" s="133" t="str">
        <f t="shared" ca="1" si="6"/>
        <v>B.4.04</v>
      </c>
      <c r="C49" s="134">
        <f t="shared" ca="1" si="7"/>
        <v>5</v>
      </c>
      <c r="D49" s="20"/>
      <c r="E49" s="135" t="str">
        <f t="shared" ca="1" si="8"/>
        <v>B.4.04</v>
      </c>
      <c r="F49" s="157" t="str">
        <f t="shared" ca="1" si="9"/>
        <v>Does your management assurance framework provide assurance to stakeholders that changes to the scope of tests – and any problems arising - are well managed?</v>
      </c>
      <c r="G49" s="134"/>
      <c r="H49" s="156"/>
      <c r="I49" s="158"/>
      <c r="J49" s="156"/>
      <c r="K49" s="156"/>
      <c r="L49" s="156"/>
      <c r="M49" s="156"/>
      <c r="N49" s="137" t="str">
        <f t="shared" ca="1" si="10"/>
        <v>x 4</v>
      </c>
      <c r="O49" s="137" t="str">
        <f t="shared" ca="1" si="11"/>
        <v/>
      </c>
      <c r="P49" s="138"/>
      <c r="Q49" s="138"/>
      <c r="R49" s="134"/>
      <c r="S49" s="134"/>
      <c r="T49" s="134"/>
      <c r="U49" s="134"/>
      <c r="V49" s="134"/>
      <c r="W49" s="134"/>
      <c r="X49" s="134"/>
      <c r="Y49" s="134"/>
      <c r="Z49" s="139"/>
      <c r="AA49" s="134"/>
      <c r="AB49" s="134"/>
      <c r="AC49" s="134"/>
      <c r="AD49" s="134"/>
      <c r="AE49" s="134"/>
      <c r="AF49" s="134"/>
      <c r="AG49" s="134"/>
      <c r="AH49" s="141">
        <v>1</v>
      </c>
      <c r="AI49" s="13"/>
    </row>
    <row r="50" spans="1:35" s="142" customFormat="1" ht="120" x14ac:dyDescent="0.25">
      <c r="A50" s="154">
        <v>114</v>
      </c>
      <c r="B50" s="133" t="str">
        <f t="shared" ca="1" si="6"/>
        <v/>
      </c>
      <c r="C50" s="134">
        <f t="shared" ca="1" si="7"/>
        <v>3</v>
      </c>
      <c r="D50" s="20"/>
      <c r="E50" s="135" t="str">
        <f t="shared" ca="1" si="8"/>
        <v/>
      </c>
      <c r="F50" s="155" t="str">
        <f t="shared" ca="1" si="9"/>
        <v>The management assurance framework should provide assurance to stakeholders that any changes to the scope of penetration tests (e.g. additional testing requested, such as to include wireless or device testing) or to organisational controls (e.g. to address a critical weakness uncovered during testing) are managed quickly and efficiently; and that any problems (or complaints) arising during tests (e.g. due to resources not being made available, tests not working as planned or an ethical breach) are satisfactorily resolved.</v>
      </c>
      <c r="G50" s="155"/>
      <c r="H50" s="155"/>
      <c r="I50" s="155"/>
      <c r="J50" s="155"/>
      <c r="K50" s="155"/>
      <c r="L50" s="155"/>
      <c r="M50" s="155"/>
      <c r="N50" s="137" t="str">
        <f t="shared" ca="1" si="10"/>
        <v/>
      </c>
      <c r="O50" s="134" t="str">
        <f t="shared" ca="1" si="11"/>
        <v/>
      </c>
      <c r="P50" s="138"/>
      <c r="Q50" s="138"/>
      <c r="R50" s="134"/>
      <c r="S50" s="134"/>
      <c r="T50" s="134"/>
      <c r="U50" s="134"/>
      <c r="V50" s="134"/>
      <c r="W50" s="134"/>
      <c r="X50" s="134"/>
      <c r="Y50" s="134"/>
      <c r="Z50" s="139"/>
      <c r="AA50" s="134"/>
      <c r="AB50" s="134"/>
      <c r="AC50" s="134"/>
      <c r="AD50" s="134"/>
      <c r="AE50" s="134"/>
      <c r="AF50" s="134"/>
      <c r="AG50" s="134"/>
      <c r="AH50" s="137">
        <v>1</v>
      </c>
      <c r="AI50" s="13"/>
    </row>
    <row r="51" spans="1:35" s="142" customFormat="1" ht="30" customHeight="1" x14ac:dyDescent="0.25">
      <c r="A51" s="154">
        <v>115</v>
      </c>
      <c r="B51" s="133" t="str">
        <f t="shared" ca="1" si="6"/>
        <v>B.4.05</v>
      </c>
      <c r="C51" s="134">
        <f t="shared" ca="1" si="7"/>
        <v>5</v>
      </c>
      <c r="D51" s="20"/>
      <c r="E51" s="135" t="str">
        <f t="shared" ca="1" si="8"/>
        <v>B.4.05</v>
      </c>
      <c r="F51" s="157" t="str">
        <f t="shared" ca="1" si="9"/>
        <v>Have you established an assurance process to ensure that the penetration testing process meets requirements?</v>
      </c>
      <c r="G51" s="134"/>
      <c r="H51" s="156"/>
      <c r="I51" s="158"/>
      <c r="J51" s="156"/>
      <c r="K51" s="156"/>
      <c r="L51" s="156"/>
      <c r="M51" s="156"/>
      <c r="N51" s="137" t="str">
        <f t="shared" ca="1" si="10"/>
        <v>x 1</v>
      </c>
      <c r="O51" s="137" t="str">
        <f t="shared" ca="1" si="11"/>
        <v/>
      </c>
      <c r="P51" s="138"/>
      <c r="Q51" s="138"/>
      <c r="R51" s="134"/>
      <c r="S51" s="134"/>
      <c r="T51" s="134"/>
      <c r="U51" s="134"/>
      <c r="V51" s="134"/>
      <c r="W51" s="134"/>
      <c r="X51" s="134"/>
      <c r="Y51" s="134"/>
      <c r="Z51" s="139"/>
      <c r="AA51" s="134"/>
      <c r="AB51" s="134"/>
      <c r="AC51" s="134"/>
      <c r="AD51" s="134"/>
      <c r="AE51" s="134"/>
      <c r="AF51" s="134"/>
      <c r="AG51" s="134"/>
      <c r="AH51" s="141">
        <v>1</v>
      </c>
      <c r="AI51" s="13"/>
    </row>
    <row r="52" spans="1:35" s="142" customFormat="1" ht="45" x14ac:dyDescent="0.25">
      <c r="A52" s="154">
        <v>116</v>
      </c>
      <c r="B52" s="133" t="str">
        <f t="shared" ca="1" si="6"/>
        <v>B.4.06</v>
      </c>
      <c r="C52" s="134">
        <f t="shared" ca="1" si="7"/>
        <v>5</v>
      </c>
      <c r="D52" s="20"/>
      <c r="E52" s="135" t="str">
        <f t="shared" ca="1" si="8"/>
        <v>B.4.06</v>
      </c>
      <c r="F52" s="157" t="str">
        <f t="shared" ca="1" si="9"/>
        <v>Does your assurance process define control processes over all important management aspects of testing, including test administration; test execution, and data security?</v>
      </c>
      <c r="G52" s="134"/>
      <c r="H52" s="156"/>
      <c r="I52" s="158"/>
      <c r="J52" s="156"/>
      <c r="K52" s="156"/>
      <c r="L52" s="156"/>
      <c r="M52" s="156"/>
      <c r="N52" s="137" t="str">
        <f t="shared" ca="1" si="10"/>
        <v>x 5</v>
      </c>
      <c r="O52" s="137" t="str">
        <f t="shared" ca="1" si="11"/>
        <v/>
      </c>
      <c r="P52" s="138"/>
      <c r="Q52" s="138"/>
      <c r="R52" s="134"/>
      <c r="S52" s="134"/>
      <c r="T52" s="134"/>
      <c r="U52" s="134"/>
      <c r="V52" s="134"/>
      <c r="W52" s="134"/>
      <c r="X52" s="134"/>
      <c r="Y52" s="134"/>
      <c r="Z52" s="139"/>
      <c r="AA52" s="134"/>
      <c r="AB52" s="134"/>
      <c r="AC52" s="134"/>
      <c r="AD52" s="134"/>
      <c r="AE52" s="134"/>
      <c r="AF52" s="134"/>
      <c r="AG52" s="134"/>
      <c r="AH52" s="141">
        <v>1</v>
      </c>
      <c r="AI52" s="13"/>
    </row>
    <row r="53" spans="1:35" s="142" customFormat="1" ht="90" x14ac:dyDescent="0.25">
      <c r="A53" s="154">
        <v>117</v>
      </c>
      <c r="B53" s="133" t="str">
        <f t="shared" ca="1" si="6"/>
        <v/>
      </c>
      <c r="C53" s="134">
        <f t="shared" ca="1" si="7"/>
        <v>3</v>
      </c>
      <c r="D53" s="20"/>
      <c r="E53" s="135" t="str">
        <f t="shared" ca="1" si="8"/>
        <v/>
      </c>
      <c r="F53" s="155" t="str">
        <f t="shared" ca="1" si="9"/>
        <v>Test administration typically includes scope of tests, legal constraints, disclosure and reporting; test execution typically includes testing approach, separation of systems and duties, tool heritage, traceability and repeatability of tests; whilst data security typically includes secure storage, transmission, processing and destruction of critical or sensitive information provided or accessed during the test.</v>
      </c>
      <c r="G53" s="155"/>
      <c r="H53" s="155"/>
      <c r="I53" s="155"/>
      <c r="J53" s="155"/>
      <c r="K53" s="155"/>
      <c r="L53" s="155"/>
      <c r="M53" s="155"/>
      <c r="N53" s="137" t="str">
        <f t="shared" ca="1" si="10"/>
        <v/>
      </c>
      <c r="O53" s="134" t="str">
        <f t="shared" ca="1" si="11"/>
        <v/>
      </c>
      <c r="P53" s="138"/>
      <c r="Q53" s="138"/>
      <c r="R53" s="134"/>
      <c r="S53" s="134"/>
      <c r="T53" s="134"/>
      <c r="U53" s="134"/>
      <c r="V53" s="134"/>
      <c r="W53" s="134"/>
      <c r="X53" s="134"/>
      <c r="Y53" s="134"/>
      <c r="Z53" s="139"/>
      <c r="AA53" s="134"/>
      <c r="AB53" s="134"/>
      <c r="AC53" s="134"/>
      <c r="AD53" s="134"/>
      <c r="AE53" s="134"/>
      <c r="AF53" s="134"/>
      <c r="AG53" s="134"/>
      <c r="AH53" s="137">
        <v>1</v>
      </c>
      <c r="AI53" s="13"/>
    </row>
    <row r="54" spans="1:35" s="142" customFormat="1" ht="30" customHeight="1" x14ac:dyDescent="0.25">
      <c r="A54" s="154">
        <v>118</v>
      </c>
      <c r="B54" s="133" t="str">
        <f t="shared" ca="1" si="6"/>
        <v>B.4.07</v>
      </c>
      <c r="C54" s="134">
        <f t="shared" ca="1" si="7"/>
        <v>5</v>
      </c>
      <c r="D54" s="20"/>
      <c r="E54" s="135" t="str">
        <f t="shared" ca="1" si="8"/>
        <v>B.4.07</v>
      </c>
      <c r="F54" s="157" t="str">
        <f t="shared" ca="1" si="9"/>
        <v>Is the scope of your penetration tests documented in an agreement, defined in a legally binding contact and signed off by all relevant parties before testing starts</v>
      </c>
      <c r="G54" s="134"/>
      <c r="H54" s="156"/>
      <c r="I54" s="158"/>
      <c r="J54" s="156"/>
      <c r="K54" s="156"/>
      <c r="L54" s="156"/>
      <c r="M54" s="156"/>
      <c r="N54" s="137" t="str">
        <f t="shared" ca="1" si="10"/>
        <v>x 1</v>
      </c>
      <c r="O54" s="137" t="str">
        <f t="shared" ca="1" si="11"/>
        <v/>
      </c>
      <c r="P54" s="138"/>
      <c r="Q54" s="138"/>
      <c r="R54" s="134"/>
      <c r="S54" s="134"/>
      <c r="T54" s="134"/>
      <c r="U54" s="134"/>
      <c r="V54" s="134"/>
      <c r="W54" s="134"/>
      <c r="X54" s="134"/>
      <c r="Y54" s="134"/>
      <c r="Z54" s="139"/>
      <c r="AA54" s="134"/>
      <c r="AB54" s="134"/>
      <c r="AC54" s="134"/>
      <c r="AD54" s="134"/>
      <c r="AE54" s="134"/>
      <c r="AF54" s="134"/>
      <c r="AG54" s="134"/>
      <c r="AH54" s="141">
        <v>1</v>
      </c>
      <c r="AI54" s="13"/>
    </row>
    <row r="55" spans="1:35" s="142" customFormat="1" ht="90" x14ac:dyDescent="0.25">
      <c r="A55" s="154">
        <v>119</v>
      </c>
      <c r="B55" s="133" t="str">
        <f t="shared" ca="1" si="6"/>
        <v/>
      </c>
      <c r="C55" s="134">
        <f t="shared" ca="1" si="7"/>
        <v>3</v>
      </c>
      <c r="D55" s="20"/>
      <c r="E55" s="135" t="str">
        <f t="shared" ca="1" si="8"/>
        <v/>
      </c>
      <c r="F55" s="155" t="str">
        <f t="shared" ca="1" si="9"/>
        <v>Penetration testing contracts should specify explicit exclusions (e.g. systems that are out of scope); any technical and operational constraints; roles and responsibilities for all parties’ concerned; and specific legal, regulatory and operational requirements (e.g., timings and checkpoints; a problem escalation process and post-test corrective action strategy).</v>
      </c>
      <c r="G55" s="155"/>
      <c r="H55" s="155"/>
      <c r="I55" s="155"/>
      <c r="J55" s="155"/>
      <c r="K55" s="155"/>
      <c r="L55" s="155"/>
      <c r="M55" s="155"/>
      <c r="N55" s="137" t="str">
        <f t="shared" ca="1" si="10"/>
        <v/>
      </c>
      <c r="O55" s="134" t="str">
        <f t="shared" ca="1" si="11"/>
        <v/>
      </c>
      <c r="P55" s="138"/>
      <c r="Q55" s="138"/>
      <c r="R55" s="134"/>
      <c r="S55" s="134"/>
      <c r="T55" s="134"/>
      <c r="U55" s="134"/>
      <c r="V55" s="134"/>
      <c r="W55" s="134"/>
      <c r="X55" s="134"/>
      <c r="Y55" s="134"/>
      <c r="Z55" s="139"/>
      <c r="AA55" s="134"/>
      <c r="AB55" s="134"/>
      <c r="AC55" s="134"/>
      <c r="AD55" s="134"/>
      <c r="AE55" s="134"/>
      <c r="AF55" s="134"/>
      <c r="AG55" s="134"/>
      <c r="AH55" s="137">
        <v>1</v>
      </c>
      <c r="AI55" s="13"/>
    </row>
    <row r="56" spans="1:35" s="142" customFormat="1" ht="30" customHeight="1" x14ac:dyDescent="0.25">
      <c r="A56" s="151">
        <v>120</v>
      </c>
      <c r="B56" s="133" t="str">
        <f t="shared" ca="1" si="6"/>
        <v>B.5</v>
      </c>
      <c r="C56" s="134">
        <f t="shared" ca="1" si="7"/>
        <v>2</v>
      </c>
      <c r="D56" s="20"/>
      <c r="E56" s="159" t="str">
        <f t="shared" ca="1" si="8"/>
        <v>Step 5</v>
      </c>
      <c r="F56" s="160" t="str">
        <f t="shared" ca="1" si="9"/>
        <v>Implement management control processes</v>
      </c>
      <c r="G56" s="160"/>
      <c r="H56" s="160"/>
      <c r="I56" s="160"/>
      <c r="J56" s="160"/>
      <c r="K56" s="160"/>
      <c r="L56" s="160"/>
      <c r="M56" s="160"/>
      <c r="N56" s="160" t="str">
        <f t="shared" ca="1" si="10"/>
        <v/>
      </c>
      <c r="O56" s="160" t="str">
        <f t="shared" ca="1" si="11"/>
        <v/>
      </c>
      <c r="P56" s="160"/>
      <c r="Q56" s="160"/>
      <c r="R56" s="160"/>
      <c r="S56" s="160"/>
      <c r="T56" s="160"/>
      <c r="U56" s="160"/>
      <c r="V56" s="160"/>
      <c r="W56" s="160"/>
      <c r="X56" s="160"/>
      <c r="Y56" s="160"/>
      <c r="Z56" s="160"/>
      <c r="AA56" s="160"/>
      <c r="AB56" s="160"/>
      <c r="AC56" s="160"/>
      <c r="AD56" s="160"/>
      <c r="AE56" s="160"/>
      <c r="AF56" s="160"/>
      <c r="AG56" s="160"/>
      <c r="AH56" s="141">
        <v>1</v>
      </c>
      <c r="AI56" s="13"/>
    </row>
    <row r="57" spans="1:35" s="142" customFormat="1" ht="60" x14ac:dyDescent="0.25">
      <c r="A57" s="154">
        <v>121</v>
      </c>
      <c r="B57" s="133" t="str">
        <f t="shared" ca="1" si="6"/>
        <v>B.5.01</v>
      </c>
      <c r="C57" s="134">
        <f t="shared" ca="1" si="7"/>
        <v>5</v>
      </c>
      <c r="D57" s="20"/>
      <c r="E57" s="135" t="str">
        <f t="shared" ca="1" si="8"/>
        <v>B.5.01</v>
      </c>
      <c r="F57" s="157" t="str">
        <f t="shared" ca="1" si="9"/>
        <v>Is your organisation aware that performing any sort of penetration test carries with it some risk to the target system and the business information associated with it (e.g. degradation or loss of services; disclosure of sensitive information)?</v>
      </c>
      <c r="G57" s="134"/>
      <c r="H57" s="156"/>
      <c r="I57" s="158"/>
      <c r="J57" s="156"/>
      <c r="K57" s="156"/>
      <c r="L57" s="156"/>
      <c r="M57" s="156"/>
      <c r="N57" s="137" t="str">
        <f t="shared" ca="1" si="10"/>
        <v>x 1</v>
      </c>
      <c r="O57" s="137" t="str">
        <f t="shared" ca="1" si="11"/>
        <v/>
      </c>
      <c r="P57" s="138"/>
      <c r="Q57" s="138"/>
      <c r="R57" s="134"/>
      <c r="S57" s="134"/>
      <c r="T57" s="134"/>
      <c r="U57" s="134"/>
      <c r="V57" s="134"/>
      <c r="W57" s="134"/>
      <c r="X57" s="134"/>
      <c r="Y57" s="134"/>
      <c r="Z57" s="139"/>
      <c r="AA57" s="134"/>
      <c r="AB57" s="134"/>
      <c r="AC57" s="134"/>
      <c r="AD57" s="134"/>
      <c r="AE57" s="134"/>
      <c r="AF57" s="134"/>
      <c r="AG57" s="134"/>
      <c r="AH57" s="141">
        <v>1</v>
      </c>
      <c r="AI57" s="13"/>
    </row>
    <row r="58" spans="1:35" s="142" customFormat="1" ht="30" customHeight="1" x14ac:dyDescent="0.25">
      <c r="A58" s="154">
        <v>122</v>
      </c>
      <c r="B58" s="133" t="str">
        <f t="shared" ca="1" si="6"/>
        <v>B.5.02</v>
      </c>
      <c r="C58" s="134">
        <f t="shared" ca="1" si="7"/>
        <v>5</v>
      </c>
      <c r="D58" s="20"/>
      <c r="E58" s="135" t="str">
        <f t="shared" ca="1" si="8"/>
        <v>B.5.02</v>
      </c>
      <c r="F58" s="157" t="str">
        <f t="shared" ca="1" si="9"/>
        <v>Have you developed methods of keeping risks to your organisation to a minimum?</v>
      </c>
      <c r="G58" s="134"/>
      <c r="H58" s="156"/>
      <c r="I58" s="158"/>
      <c r="J58" s="156"/>
      <c r="K58" s="156"/>
      <c r="L58" s="156"/>
      <c r="M58" s="156"/>
      <c r="N58" s="137" t="str">
        <f t="shared" ca="1" si="10"/>
        <v>x 4</v>
      </c>
      <c r="O58" s="137" t="str">
        <f t="shared" ca="1" si="11"/>
        <v/>
      </c>
      <c r="P58" s="138"/>
      <c r="Q58" s="138"/>
      <c r="R58" s="134"/>
      <c r="S58" s="134"/>
      <c r="T58" s="134"/>
      <c r="U58" s="134"/>
      <c r="V58" s="134"/>
      <c r="W58" s="134"/>
      <c r="X58" s="134"/>
      <c r="Y58" s="134"/>
      <c r="Z58" s="139"/>
      <c r="AA58" s="134"/>
      <c r="AB58" s="134"/>
      <c r="AC58" s="134"/>
      <c r="AD58" s="134"/>
      <c r="AE58" s="134"/>
      <c r="AF58" s="134"/>
      <c r="AG58" s="134"/>
      <c r="AH58" s="141">
        <v>1</v>
      </c>
      <c r="AI58" s="13"/>
    </row>
    <row r="59" spans="1:35" s="142" customFormat="1" ht="60" x14ac:dyDescent="0.25">
      <c r="A59" s="154">
        <v>123</v>
      </c>
      <c r="B59" s="133" t="str">
        <f t="shared" ca="1" si="6"/>
        <v/>
      </c>
      <c r="C59" s="134">
        <f t="shared" ca="1" si="7"/>
        <v>3</v>
      </c>
      <c r="D59" s="20"/>
      <c r="E59" s="135" t="str">
        <f t="shared" ca="1" si="8"/>
        <v/>
      </c>
      <c r="F59" s="155" t="str">
        <f t="shared" ca="1" si="9"/>
        <v>You can help to reduce risk associated with penetration testing by carrying out planning in advance; having a clear definition of scope; using predefined escalation procedures; supported by qualified testing individuals and certified organisations.</v>
      </c>
      <c r="G59" s="155"/>
      <c r="H59" s="155"/>
      <c r="I59" s="155"/>
      <c r="J59" s="155"/>
      <c r="K59" s="155"/>
      <c r="L59" s="155"/>
      <c r="M59" s="155"/>
      <c r="N59" s="137" t="str">
        <f t="shared" ca="1" si="10"/>
        <v/>
      </c>
      <c r="O59" s="134" t="str">
        <f t="shared" ca="1" si="11"/>
        <v/>
      </c>
      <c r="P59" s="138"/>
      <c r="Q59" s="138"/>
      <c r="R59" s="134"/>
      <c r="S59" s="134"/>
      <c r="T59" s="134"/>
      <c r="U59" s="134"/>
      <c r="V59" s="134"/>
      <c r="W59" s="134"/>
      <c r="X59" s="134"/>
      <c r="Y59" s="134"/>
      <c r="Z59" s="139"/>
      <c r="AA59" s="134"/>
      <c r="AB59" s="134"/>
      <c r="AC59" s="134"/>
      <c r="AD59" s="134"/>
      <c r="AE59" s="134"/>
      <c r="AF59" s="134"/>
      <c r="AG59" s="134"/>
      <c r="AH59" s="137">
        <v>1</v>
      </c>
      <c r="AI59" s="13"/>
    </row>
    <row r="60" spans="1:35" s="142" customFormat="1" ht="75" x14ac:dyDescent="0.25">
      <c r="A60" s="154">
        <v>124</v>
      </c>
      <c r="B60" s="133" t="str">
        <f t="shared" ca="1" si="6"/>
        <v>B.5.03</v>
      </c>
      <c r="C60" s="134">
        <f t="shared" ca="1" si="7"/>
        <v>5</v>
      </c>
      <c r="D60" s="20"/>
      <c r="E60" s="135" t="str">
        <f t="shared" ca="1" si="8"/>
        <v>B.5.03</v>
      </c>
      <c r="F60" s="157" t="str">
        <f t="shared" ca="1" si="9"/>
        <v>When conducting penetration tests, do you ensure that those individuals responsible for the running of the target systems have full knowledge of the tests to help protect against unexpected business consequences, such an inadvertent trigger of internal controls; and are aware of – and adhere to - any escalation procedures?</v>
      </c>
      <c r="G60" s="134"/>
      <c r="H60" s="156"/>
      <c r="I60" s="158"/>
      <c r="J60" s="156"/>
      <c r="K60" s="156"/>
      <c r="L60" s="156"/>
      <c r="M60" s="156"/>
      <c r="N60" s="137" t="str">
        <f t="shared" ca="1" si="10"/>
        <v>x 3</v>
      </c>
      <c r="O60" s="137" t="str">
        <f t="shared" ca="1" si="11"/>
        <v/>
      </c>
      <c r="P60" s="138"/>
      <c r="Q60" s="138"/>
      <c r="R60" s="134"/>
      <c r="S60" s="134"/>
      <c r="T60" s="134"/>
      <c r="U60" s="134"/>
      <c r="V60" s="134"/>
      <c r="W60" s="134"/>
      <c r="X60" s="134"/>
      <c r="Y60" s="134"/>
      <c r="Z60" s="139"/>
      <c r="AA60" s="134"/>
      <c r="AB60" s="134"/>
      <c r="AC60" s="134"/>
      <c r="AD60" s="134"/>
      <c r="AE60" s="134"/>
      <c r="AF60" s="134"/>
      <c r="AG60" s="134"/>
      <c r="AH60" s="141">
        <v>1</v>
      </c>
      <c r="AI60" s="13"/>
    </row>
    <row r="61" spans="1:35" s="142" customFormat="1" ht="60" x14ac:dyDescent="0.25">
      <c r="A61" s="154">
        <v>125</v>
      </c>
      <c r="B61" s="133" t="str">
        <f t="shared" ca="1" si="6"/>
        <v>B.5.04</v>
      </c>
      <c r="C61" s="134">
        <f t="shared" ca="1" si="7"/>
        <v>5</v>
      </c>
      <c r="D61" s="20"/>
      <c r="E61" s="135" t="str">
        <f t="shared" ca="1" si="8"/>
        <v>B.5.04</v>
      </c>
      <c r="F61" s="157" t="str">
        <f t="shared" ca="1" si="9"/>
        <v>Are individuals responsible for the running of the target systems available, as required, during the test period to help: ensure that testing takes place as agreed; keep risks within acceptable boundaries; deal with any problems arising; and manage issues that have been escalated?</v>
      </c>
      <c r="G61" s="134"/>
      <c r="H61" s="156"/>
      <c r="I61" s="158"/>
      <c r="J61" s="156"/>
      <c r="K61" s="156"/>
      <c r="L61" s="156"/>
      <c r="M61" s="156"/>
      <c r="N61" s="137" t="str">
        <f t="shared" ca="1" si="10"/>
        <v>x 3</v>
      </c>
      <c r="O61" s="137" t="str">
        <f t="shared" ca="1" si="11"/>
        <v/>
      </c>
      <c r="P61" s="138"/>
      <c r="Q61" s="138"/>
      <c r="R61" s="134"/>
      <c r="S61" s="134"/>
      <c r="T61" s="134"/>
      <c r="U61" s="134"/>
      <c r="V61" s="134"/>
      <c r="W61" s="134"/>
      <c r="X61" s="134"/>
      <c r="Y61" s="134"/>
      <c r="Z61" s="139"/>
      <c r="AA61" s="134"/>
      <c r="AB61" s="134"/>
      <c r="AC61" s="134"/>
      <c r="AD61" s="134"/>
      <c r="AE61" s="134"/>
      <c r="AF61" s="134"/>
      <c r="AG61" s="134"/>
      <c r="AH61" s="141">
        <v>1</v>
      </c>
      <c r="AI61" s="13"/>
    </row>
    <row r="62" spans="1:35" s="142" customFormat="1" ht="30" customHeight="1" x14ac:dyDescent="0.25">
      <c r="A62" s="154">
        <v>126</v>
      </c>
      <c r="B62" s="133" t="str">
        <f t="shared" ca="1" si="6"/>
        <v>B.5.05</v>
      </c>
      <c r="C62" s="134">
        <f t="shared" ca="1" si="7"/>
        <v>5</v>
      </c>
      <c r="D62" s="20"/>
      <c r="E62" s="135" t="str">
        <f t="shared" ca="1" si="8"/>
        <v>B.5.05</v>
      </c>
      <c r="F62" s="157" t="str">
        <f t="shared" ca="1" si="9"/>
        <v>Is your penetration testing supported by a change management process?</v>
      </c>
      <c r="G62" s="134"/>
      <c r="H62" s="156"/>
      <c r="I62" s="158"/>
      <c r="J62" s="156"/>
      <c r="K62" s="156"/>
      <c r="L62" s="156"/>
      <c r="M62" s="156"/>
      <c r="N62" s="137" t="str">
        <f t="shared" ca="1" si="10"/>
        <v>x 2</v>
      </c>
      <c r="O62" s="137" t="str">
        <f t="shared" ca="1" si="11"/>
        <v/>
      </c>
      <c r="P62" s="138"/>
      <c r="Q62" s="138"/>
      <c r="R62" s="134"/>
      <c r="S62" s="134"/>
      <c r="T62" s="134"/>
      <c r="U62" s="134"/>
      <c r="V62" s="134"/>
      <c r="W62" s="134"/>
      <c r="X62" s="134"/>
      <c r="Y62" s="134"/>
      <c r="Z62" s="139"/>
      <c r="AA62" s="134"/>
      <c r="AB62" s="134"/>
      <c r="AC62" s="134"/>
      <c r="AD62" s="134"/>
      <c r="AE62" s="134"/>
      <c r="AF62" s="134"/>
      <c r="AG62" s="134"/>
      <c r="AH62" s="141">
        <v>1</v>
      </c>
      <c r="AI62" s="13"/>
    </row>
    <row r="63" spans="1:35" s="142" customFormat="1" ht="75" x14ac:dyDescent="0.25">
      <c r="A63" s="154">
        <v>127</v>
      </c>
      <c r="B63" s="133" t="str">
        <f t="shared" ca="1" si="6"/>
        <v/>
      </c>
      <c r="C63" s="134">
        <f t="shared" ca="1" si="7"/>
        <v>3</v>
      </c>
      <c r="D63" s="20"/>
      <c r="E63" s="135" t="str">
        <f t="shared" ca="1" si="8"/>
        <v/>
      </c>
      <c r="F63" s="155" t="str">
        <f t="shared" ca="1" si="9"/>
        <v>An effective change management process should cover changes to the scope of the penetration test, organisational controls and the individuals on the testing team; as well as ensuring that all parties involved adhere to the process and that changes to penetration testing are made quickly and efficiently.</v>
      </c>
      <c r="G63" s="155"/>
      <c r="H63" s="155"/>
      <c r="I63" s="155"/>
      <c r="J63" s="155"/>
      <c r="K63" s="155"/>
      <c r="L63" s="155"/>
      <c r="M63" s="155"/>
      <c r="N63" s="137" t="str">
        <f t="shared" ca="1" si="10"/>
        <v/>
      </c>
      <c r="O63" s="134" t="str">
        <f t="shared" ca="1" si="11"/>
        <v/>
      </c>
      <c r="P63" s="138"/>
      <c r="Q63" s="138"/>
      <c r="R63" s="134"/>
      <c r="S63" s="134"/>
      <c r="T63" s="134"/>
      <c r="U63" s="134"/>
      <c r="V63" s="134"/>
      <c r="W63" s="134"/>
      <c r="X63" s="134"/>
      <c r="Y63" s="134"/>
      <c r="Z63" s="139"/>
      <c r="AA63" s="134"/>
      <c r="AB63" s="134"/>
      <c r="AC63" s="134"/>
      <c r="AD63" s="134"/>
      <c r="AE63" s="134"/>
      <c r="AF63" s="134"/>
      <c r="AG63" s="134"/>
      <c r="AH63" s="137">
        <v>1</v>
      </c>
      <c r="AI63" s="13"/>
    </row>
    <row r="64" spans="1:35" s="142" customFormat="1" ht="30" customHeight="1" x14ac:dyDescent="0.25">
      <c r="A64" s="154">
        <v>128</v>
      </c>
      <c r="B64" s="133" t="str">
        <f t="shared" ca="1" si="6"/>
        <v>B.5.06</v>
      </c>
      <c r="C64" s="134">
        <f t="shared" ca="1" si="7"/>
        <v>5</v>
      </c>
      <c r="D64" s="20"/>
      <c r="E64" s="135" t="str">
        <f t="shared" ca="1" si="8"/>
        <v>B.5.06</v>
      </c>
      <c r="F64" s="157" t="str">
        <f t="shared" ca="1" si="9"/>
        <v>Is your penetration testing supported by an effective problem resolution process?</v>
      </c>
      <c r="G64" s="134"/>
      <c r="H64" s="156"/>
      <c r="I64" s="158"/>
      <c r="J64" s="156"/>
      <c r="K64" s="156"/>
      <c r="L64" s="156"/>
      <c r="M64" s="156"/>
      <c r="N64" s="137" t="str">
        <f t="shared" ca="1" si="10"/>
        <v>x 3</v>
      </c>
      <c r="O64" s="137" t="str">
        <f t="shared" ca="1" si="11"/>
        <v/>
      </c>
      <c r="P64" s="138"/>
      <c r="Q64" s="138"/>
      <c r="R64" s="134"/>
      <c r="S64" s="134"/>
      <c r="T64" s="134"/>
      <c r="U64" s="134"/>
      <c r="V64" s="134"/>
      <c r="W64" s="134"/>
      <c r="X64" s="134"/>
      <c r="Y64" s="134"/>
      <c r="Z64" s="139"/>
      <c r="AA64" s="134"/>
      <c r="AB64" s="134"/>
      <c r="AC64" s="134"/>
      <c r="AD64" s="134"/>
      <c r="AE64" s="134"/>
      <c r="AF64" s="134"/>
      <c r="AG64" s="134"/>
      <c r="AH64" s="141">
        <v>1</v>
      </c>
      <c r="AI64" s="13"/>
    </row>
    <row r="65" spans="1:35" s="142" customFormat="1" ht="123" customHeight="1" x14ac:dyDescent="0.25">
      <c r="A65" s="154">
        <v>129</v>
      </c>
      <c r="B65" s="133" t="str">
        <f t="shared" ca="1" si="6"/>
        <v/>
      </c>
      <c r="C65" s="134">
        <f t="shared" ca="1" si="7"/>
        <v>3</v>
      </c>
      <c r="D65" s="20"/>
      <c r="E65" s="135" t="str">
        <f t="shared" ca="1" si="8"/>
        <v/>
      </c>
      <c r="F65" s="155" t="str">
        <f t="shared" ca="1" si="9"/>
        <v>An effective problem resolution process should cover tests not working as planned and resources not being made available; as well as problems caused as a result of the penetration testing, which can include: interruptions to or degradation of live systems; unauthorised disclosure of confidential information; and compromise of the integrity of information (e.g. affecting the accuracy or timeliness of information).
The problem resolution process should also include breaches of: contract; specifications in the scope statement; and a relevant code of conduct.</v>
      </c>
      <c r="G65" s="155"/>
      <c r="H65" s="155"/>
      <c r="I65" s="155"/>
      <c r="J65" s="155"/>
      <c r="K65" s="155"/>
      <c r="L65" s="155"/>
      <c r="M65" s="155"/>
      <c r="N65" s="137" t="str">
        <f t="shared" ca="1" si="10"/>
        <v/>
      </c>
      <c r="O65" s="134" t="str">
        <f t="shared" ca="1" si="11"/>
        <v/>
      </c>
      <c r="P65" s="138"/>
      <c r="Q65" s="138"/>
      <c r="R65" s="134"/>
      <c r="S65" s="134"/>
      <c r="T65" s="134"/>
      <c r="U65" s="134"/>
      <c r="V65" s="134"/>
      <c r="W65" s="134"/>
      <c r="X65" s="134"/>
      <c r="Y65" s="134"/>
      <c r="Z65" s="139"/>
      <c r="AA65" s="134"/>
      <c r="AB65" s="134"/>
      <c r="AC65" s="134"/>
      <c r="AD65" s="134"/>
      <c r="AE65" s="134"/>
      <c r="AF65" s="134"/>
      <c r="AG65" s="134"/>
      <c r="AH65" s="137">
        <v>1</v>
      </c>
      <c r="AI65" s="13"/>
    </row>
    <row r="66" spans="1:35" s="142" customFormat="1" ht="30" customHeight="1" x14ac:dyDescent="0.25">
      <c r="A66" s="154">
        <v>130</v>
      </c>
      <c r="B66" s="133" t="str">
        <f t="shared" ca="1" si="6"/>
        <v>B.5.07</v>
      </c>
      <c r="C66" s="134">
        <f t="shared" ca="1" si="7"/>
        <v>5</v>
      </c>
      <c r="D66" s="20"/>
      <c r="E66" s="135" t="str">
        <f t="shared" ca="1" si="8"/>
        <v>B.5.07</v>
      </c>
      <c r="F66" s="157" t="str">
        <f t="shared" ca="1" si="9"/>
        <v>Are problems arising during penetration testing resolved in an effective, timely manner in accordance with your problem management process?</v>
      </c>
      <c r="G66" s="134"/>
      <c r="H66" s="156"/>
      <c r="I66" s="158"/>
      <c r="J66" s="156"/>
      <c r="K66" s="156"/>
      <c r="L66" s="156"/>
      <c r="M66" s="156"/>
      <c r="N66" s="137" t="str">
        <f t="shared" ca="1" si="10"/>
        <v>x 4</v>
      </c>
      <c r="O66" s="137" t="str">
        <f t="shared" ca="1" si="11"/>
        <v/>
      </c>
      <c r="P66" s="138"/>
      <c r="Q66" s="138"/>
      <c r="R66" s="134"/>
      <c r="S66" s="134"/>
      <c r="T66" s="134"/>
      <c r="U66" s="134"/>
      <c r="V66" s="134"/>
      <c r="W66" s="134"/>
      <c r="X66" s="134"/>
      <c r="Y66" s="134"/>
      <c r="Z66" s="139"/>
      <c r="AA66" s="134"/>
      <c r="AB66" s="134"/>
      <c r="AC66" s="134"/>
      <c r="AD66" s="134"/>
      <c r="AE66" s="134"/>
      <c r="AF66" s="134"/>
      <c r="AG66" s="134"/>
      <c r="AH66" s="141">
        <v>1</v>
      </c>
      <c r="AI66" s="13"/>
    </row>
    <row r="67" spans="1:35" s="142" customFormat="1" ht="30" customHeight="1" x14ac:dyDescent="0.25">
      <c r="A67" s="151">
        <v>135</v>
      </c>
      <c r="B67" s="133" t="str">
        <f t="shared" ca="1" si="6"/>
        <v>B.6</v>
      </c>
      <c r="C67" s="134">
        <f t="shared" ca="1" si="7"/>
        <v>2</v>
      </c>
      <c r="D67" s="20"/>
      <c r="E67" s="159" t="str">
        <f t="shared" ca="1" si="8"/>
        <v>Step 6</v>
      </c>
      <c r="F67" s="160" t="str">
        <f t="shared" ca="1" si="9"/>
        <v>Use an effective testing methodology</v>
      </c>
      <c r="G67" s="160"/>
      <c r="H67" s="160"/>
      <c r="I67" s="160"/>
      <c r="J67" s="160"/>
      <c r="K67" s="160"/>
      <c r="L67" s="160"/>
      <c r="M67" s="160"/>
      <c r="N67" s="160" t="str">
        <f t="shared" ca="1" si="10"/>
        <v/>
      </c>
      <c r="O67" s="160" t="str">
        <f t="shared" ca="1" si="11"/>
        <v/>
      </c>
      <c r="P67" s="160"/>
      <c r="Q67" s="160"/>
      <c r="R67" s="160"/>
      <c r="S67" s="160"/>
      <c r="T67" s="160"/>
      <c r="U67" s="160"/>
      <c r="V67" s="160"/>
      <c r="W67" s="160"/>
      <c r="X67" s="160"/>
      <c r="Y67" s="160"/>
      <c r="Z67" s="160"/>
      <c r="AA67" s="160"/>
      <c r="AB67" s="160"/>
      <c r="AC67" s="160"/>
      <c r="AD67" s="160"/>
      <c r="AE67" s="160"/>
      <c r="AF67" s="160"/>
      <c r="AG67" s="160"/>
      <c r="AH67" s="141">
        <v>1</v>
      </c>
      <c r="AI67" s="13"/>
    </row>
    <row r="68" spans="1:35" s="142" customFormat="1" ht="30" customHeight="1" x14ac:dyDescent="0.25">
      <c r="A68" s="154">
        <v>136</v>
      </c>
      <c r="B68" s="133" t="str">
        <f t="shared" ca="1" si="6"/>
        <v>B.6.01</v>
      </c>
      <c r="C68" s="134">
        <f t="shared" ca="1" si="7"/>
        <v>5</v>
      </c>
      <c r="D68" s="20"/>
      <c r="E68" s="135" t="str">
        <f t="shared" ca="1" si="8"/>
        <v>B.6.01</v>
      </c>
      <c r="F68" s="157" t="str">
        <f t="shared" ca="1" si="9"/>
        <v>When conducting penetration tests do you use a systematic, structured testing methodology?</v>
      </c>
      <c r="G68" s="134"/>
      <c r="H68" s="156"/>
      <c r="I68" s="158"/>
      <c r="J68" s="156"/>
      <c r="K68" s="156"/>
      <c r="L68" s="156"/>
      <c r="M68" s="156"/>
      <c r="N68" s="137" t="str">
        <f t="shared" ca="1" si="10"/>
        <v>x 1</v>
      </c>
      <c r="O68" s="137" t="str">
        <f t="shared" ca="1" si="11"/>
        <v/>
      </c>
      <c r="P68" s="138"/>
      <c r="Q68" s="138"/>
      <c r="R68" s="134"/>
      <c r="S68" s="134"/>
      <c r="T68" s="134"/>
      <c r="U68" s="134"/>
      <c r="V68" s="134"/>
      <c r="W68" s="134"/>
      <c r="X68" s="134"/>
      <c r="Y68" s="134"/>
      <c r="Z68" s="139"/>
      <c r="AA68" s="134"/>
      <c r="AB68" s="134"/>
      <c r="AC68" s="134"/>
      <c r="AD68" s="134"/>
      <c r="AE68" s="134"/>
      <c r="AF68" s="134"/>
      <c r="AG68" s="134"/>
      <c r="AH68" s="141">
        <v>1</v>
      </c>
      <c r="AI68" s="13"/>
    </row>
    <row r="69" spans="1:35" s="142" customFormat="1" ht="30" customHeight="1" x14ac:dyDescent="0.25">
      <c r="A69" s="154">
        <v>137</v>
      </c>
      <c r="B69" s="133" t="str">
        <f t="shared" ca="1" si="6"/>
        <v>B.6.02</v>
      </c>
      <c r="C69" s="134">
        <f t="shared" ca="1" si="7"/>
        <v>5</v>
      </c>
      <c r="D69" s="20"/>
      <c r="E69" s="135" t="str">
        <f t="shared" ca="1" si="8"/>
        <v>B.6.02</v>
      </c>
      <c r="F69" s="157" t="str">
        <f t="shared" ca="1" si="9"/>
        <v>Is your penetration testing methodology based on proven approaches designed by authoritative publicly available sources?</v>
      </c>
      <c r="G69" s="134"/>
      <c r="H69" s="156"/>
      <c r="I69" s="158"/>
      <c r="J69" s="156"/>
      <c r="K69" s="156"/>
      <c r="L69" s="156"/>
      <c r="M69" s="156"/>
      <c r="N69" s="137" t="str">
        <f t="shared" ca="1" si="10"/>
        <v>x 2</v>
      </c>
      <c r="O69" s="137" t="str">
        <f t="shared" ca="1" si="11"/>
        <v/>
      </c>
      <c r="P69" s="138"/>
      <c r="Q69" s="138"/>
      <c r="R69" s="134"/>
      <c r="S69" s="134"/>
      <c r="T69" s="134"/>
      <c r="U69" s="134"/>
      <c r="V69" s="134"/>
      <c r="W69" s="134"/>
      <c r="X69" s="134"/>
      <c r="Y69" s="134"/>
      <c r="Z69" s="139"/>
      <c r="AA69" s="134"/>
      <c r="AB69" s="134"/>
      <c r="AC69" s="134"/>
      <c r="AD69" s="134"/>
      <c r="AE69" s="134"/>
      <c r="AF69" s="134"/>
      <c r="AG69" s="134"/>
      <c r="AH69" s="141">
        <v>1</v>
      </c>
      <c r="AI69" s="13"/>
    </row>
    <row r="70" spans="1:35" s="142" customFormat="1" ht="60" x14ac:dyDescent="0.25">
      <c r="A70" s="154">
        <v>138</v>
      </c>
      <c r="B70" s="133" t="str">
        <f t="shared" ca="1" si="6"/>
        <v/>
      </c>
      <c r="C70" s="134">
        <f t="shared" ca="1" si="7"/>
        <v>3</v>
      </c>
      <c r="D70" s="20"/>
      <c r="E70" s="135" t="str">
        <f t="shared" ca="1" si="8"/>
        <v/>
      </c>
      <c r="F70" s="155" t="str">
        <f t="shared" ca="1" si="9"/>
        <v>Authoritative publicly available sources include the Open Source Security Testing Methodology Manual (OSSTM) or the penetration testing in SP800-115.[3] and the Open Web Application Security Project (OWASP).</v>
      </c>
      <c r="G70" s="155"/>
      <c r="H70" s="155"/>
      <c r="I70" s="155"/>
      <c r="J70" s="155"/>
      <c r="K70" s="155"/>
      <c r="L70" s="155"/>
      <c r="M70" s="155"/>
      <c r="N70" s="137" t="str">
        <f t="shared" ca="1" si="10"/>
        <v/>
      </c>
      <c r="O70" s="134" t="str">
        <f t="shared" ca="1" si="11"/>
        <v/>
      </c>
      <c r="P70" s="138"/>
      <c r="Q70" s="138"/>
      <c r="R70" s="134"/>
      <c r="S70" s="134"/>
      <c r="T70" s="134"/>
      <c r="U70" s="134"/>
      <c r="V70" s="134"/>
      <c r="W70" s="134"/>
      <c r="X70" s="134"/>
      <c r="Y70" s="134"/>
      <c r="Z70" s="139"/>
      <c r="AA70" s="134"/>
      <c r="AB70" s="134"/>
      <c r="AC70" s="134"/>
      <c r="AD70" s="134"/>
      <c r="AE70" s="134"/>
      <c r="AF70" s="134"/>
      <c r="AG70" s="134"/>
      <c r="AH70" s="137">
        <v>1</v>
      </c>
      <c r="AI70" s="13"/>
    </row>
    <row r="71" spans="1:35" s="142" customFormat="1" ht="45" x14ac:dyDescent="0.25">
      <c r="A71" s="154">
        <v>139</v>
      </c>
      <c r="B71" s="133" t="str">
        <f t="shared" ca="1" si="6"/>
        <v>B.6.03</v>
      </c>
      <c r="C71" s="134">
        <f t="shared" ca="1" si="7"/>
        <v>5</v>
      </c>
      <c r="D71" s="20"/>
      <c r="E71" s="135" t="str">
        <f t="shared" ca="1" si="8"/>
        <v>B.6.03</v>
      </c>
      <c r="F71" s="157" t="str">
        <f t="shared" ca="1" si="9"/>
        <v>Does your penetration testing methodology detail specific evaluation or testing criteria and adhere to a standard common language and scope for performing penetration testing (i.e. security evaluations)?</v>
      </c>
      <c r="G71" s="134"/>
      <c r="H71" s="156"/>
      <c r="I71" s="158"/>
      <c r="J71" s="156"/>
      <c r="K71" s="156"/>
      <c r="L71" s="156"/>
      <c r="M71" s="156"/>
      <c r="N71" s="137" t="str">
        <f t="shared" ca="1" si="10"/>
        <v>x 3</v>
      </c>
      <c r="O71" s="137" t="str">
        <f t="shared" ca="1" si="11"/>
        <v/>
      </c>
      <c r="P71" s="138"/>
      <c r="Q71" s="138"/>
      <c r="R71" s="134"/>
      <c r="S71" s="134"/>
      <c r="T71" s="134"/>
      <c r="U71" s="134"/>
      <c r="V71" s="134"/>
      <c r="W71" s="134"/>
      <c r="X71" s="134"/>
      <c r="Y71" s="134"/>
      <c r="Z71" s="139"/>
      <c r="AA71" s="134"/>
      <c r="AB71" s="134"/>
      <c r="AC71" s="134"/>
      <c r="AD71" s="134"/>
      <c r="AE71" s="134"/>
      <c r="AF71" s="134"/>
      <c r="AG71" s="134"/>
      <c r="AH71" s="141">
        <v>1</v>
      </c>
      <c r="AI71" s="13"/>
    </row>
    <row r="72" spans="1:35" s="142" customFormat="1" ht="60" x14ac:dyDescent="0.25">
      <c r="A72" s="154">
        <v>140</v>
      </c>
      <c r="B72" s="133" t="str">
        <f t="shared" ref="B72:B103" ca="1" si="12">VLOOKUP(A72,Contents_Text,2,FALSE)</f>
        <v/>
      </c>
      <c r="C72" s="134">
        <f t="shared" ref="C72:C104" ca="1" si="13">VLOOKUP(A72,Contents_Text,15,FALSE)</f>
        <v>3</v>
      </c>
      <c r="D72" s="20"/>
      <c r="E72" s="135" t="str">
        <f t="shared" ref="E72:E104" ca="1" si="14">IF(C72=1,"Phase "&amp;B72,IF(C72=2,"Step "&amp;VLOOKUP(A72,Contents_Text,4,FALSE),B72))</f>
        <v/>
      </c>
      <c r="F72" s="155" t="str">
        <f t="shared" ref="F72:F104" ca="1" si="15">VLOOKUP(A72,Contents_Text,7,FALSE)</f>
        <v>Specific evaluation and testing criteria include the Information Systems Security Assessment Framework (ISSAF) and a standard common language and scope for performing penetration testing is defined in the Penetration Testing Execution Standard (PTES).</v>
      </c>
      <c r="G72" s="155"/>
      <c r="H72" s="155"/>
      <c r="I72" s="155"/>
      <c r="J72" s="155"/>
      <c r="K72" s="155"/>
      <c r="L72" s="155"/>
      <c r="M72" s="155"/>
      <c r="N72" s="137" t="str">
        <f t="shared" ref="N72:N104" ca="1" si="16">IFERROR(IF(VLOOKUP(A72,Weightings_Assessments,25,FALSE)=0,"",VLOOKUP(A72,Weightings_Assessments,25,FALSE)),"")</f>
        <v/>
      </c>
      <c r="O72" s="134" t="str">
        <f t="shared" ref="O72:O104" ca="1" si="17">IFERROR(VLOOKUP(AH72,detail_maturity_score,3,FALSE)*VLOOKUP(A72,Weightings_Assessments,23,FALSE),"")</f>
        <v/>
      </c>
      <c r="P72" s="138"/>
      <c r="Q72" s="138"/>
      <c r="R72" s="134"/>
      <c r="S72" s="134"/>
      <c r="T72" s="134"/>
      <c r="U72" s="134"/>
      <c r="V72" s="134"/>
      <c r="W72" s="134"/>
      <c r="X72" s="134"/>
      <c r="Y72" s="134"/>
      <c r="Z72" s="139"/>
      <c r="AA72" s="134"/>
      <c r="AB72" s="134"/>
      <c r="AC72" s="134"/>
      <c r="AD72" s="134"/>
      <c r="AE72" s="134"/>
      <c r="AF72" s="134"/>
      <c r="AG72" s="134"/>
      <c r="AH72" s="137">
        <v>1</v>
      </c>
      <c r="AI72" s="13"/>
    </row>
    <row r="73" spans="1:35" s="142" customFormat="1" ht="45" x14ac:dyDescent="0.25">
      <c r="A73" s="154">
        <v>141</v>
      </c>
      <c r="B73" s="133" t="str">
        <f t="shared" ca="1" si="12"/>
        <v>B.6.04</v>
      </c>
      <c r="C73" s="134">
        <f t="shared" ca="1" si="13"/>
        <v>5</v>
      </c>
      <c r="D73" s="20"/>
      <c r="E73" s="135" t="str">
        <f t="shared" ca="1" si="14"/>
        <v>B.6.04</v>
      </c>
      <c r="F73" s="157" t="str">
        <f t="shared" ca="1" si="15"/>
        <v>Does your penetration testing methodology specify a required approach (or approaches) for carrying out all stages of a comprehensive end-to-end penetration test?</v>
      </c>
      <c r="G73" s="134"/>
      <c r="H73" s="156"/>
      <c r="I73" s="158"/>
      <c r="J73" s="156"/>
      <c r="K73" s="156"/>
      <c r="L73" s="156"/>
      <c r="M73" s="156"/>
      <c r="N73" s="137" t="str">
        <f t="shared" ca="1" si="16"/>
        <v>x 4</v>
      </c>
      <c r="O73" s="137" t="str">
        <f t="shared" ca="1" si="17"/>
        <v/>
      </c>
      <c r="P73" s="138"/>
      <c r="Q73" s="138"/>
      <c r="R73" s="134"/>
      <c r="S73" s="134"/>
      <c r="T73" s="134"/>
      <c r="U73" s="134"/>
      <c r="V73" s="134"/>
      <c r="W73" s="134"/>
      <c r="X73" s="134"/>
      <c r="Y73" s="134"/>
      <c r="Z73" s="139"/>
      <c r="AA73" s="134"/>
      <c r="AB73" s="134"/>
      <c r="AC73" s="134"/>
      <c r="AD73" s="134"/>
      <c r="AE73" s="134"/>
      <c r="AF73" s="134"/>
      <c r="AG73" s="134"/>
      <c r="AH73" s="141">
        <v>1</v>
      </c>
      <c r="AI73" s="13"/>
    </row>
    <row r="74" spans="1:35" s="142" customFormat="1" ht="60" x14ac:dyDescent="0.25">
      <c r="A74" s="154">
        <v>142</v>
      </c>
      <c r="B74" s="133" t="str">
        <f t="shared" ca="1" si="12"/>
        <v/>
      </c>
      <c r="C74" s="134">
        <f t="shared" ca="1" si="13"/>
        <v>3</v>
      </c>
      <c r="D74" s="20"/>
      <c r="E74" s="135" t="str">
        <f t="shared" ca="1" si="14"/>
        <v/>
      </c>
      <c r="F74" s="155" t="str">
        <f t="shared" ca="1" si="15"/>
        <v>An effective penetration testing methodology should specify a required approach (or approaches) for carrying out planning; conducting research; identifying vulnerabilities; exploiting weaknesses; reporting findings; and remediating issues.</v>
      </c>
      <c r="G74" s="155"/>
      <c r="H74" s="155"/>
      <c r="I74" s="155"/>
      <c r="J74" s="155"/>
      <c r="K74" s="155"/>
      <c r="L74" s="155"/>
      <c r="M74" s="155"/>
      <c r="N74" s="137" t="str">
        <f t="shared" ca="1" si="16"/>
        <v/>
      </c>
      <c r="O74" s="134" t="str">
        <f t="shared" ca="1" si="17"/>
        <v/>
      </c>
      <c r="P74" s="138"/>
      <c r="Q74" s="138"/>
      <c r="R74" s="134"/>
      <c r="S74" s="134"/>
      <c r="T74" s="134"/>
      <c r="U74" s="134"/>
      <c r="V74" s="134"/>
      <c r="W74" s="134"/>
      <c r="X74" s="134"/>
      <c r="Y74" s="134"/>
      <c r="Z74" s="139"/>
      <c r="AA74" s="134"/>
      <c r="AB74" s="134"/>
      <c r="AC74" s="134"/>
      <c r="AD74" s="134"/>
      <c r="AE74" s="134"/>
      <c r="AF74" s="134"/>
      <c r="AG74" s="134"/>
      <c r="AH74" s="137">
        <v>1</v>
      </c>
      <c r="AI74" s="13"/>
    </row>
    <row r="75" spans="1:35" s="142" customFormat="1" ht="45" x14ac:dyDescent="0.25">
      <c r="A75" s="154">
        <v>143</v>
      </c>
      <c r="B75" s="133" t="str">
        <f t="shared" ca="1" si="12"/>
        <v>B.6.05</v>
      </c>
      <c r="C75" s="134">
        <f t="shared" ca="1" si="13"/>
        <v>5</v>
      </c>
      <c r="D75" s="20"/>
      <c r="E75" s="135" t="str">
        <f t="shared" ca="1" si="14"/>
        <v>B.6.05</v>
      </c>
      <c r="F75" s="157" t="str">
        <f t="shared" ca="1" si="15"/>
        <v>Do your service providers demonstrate compliance to ‘standard’ methodologies, if required, and develop or augment testing methodologies that each scenario demands?</v>
      </c>
      <c r="G75" s="134"/>
      <c r="H75" s="156"/>
      <c r="I75" s="158"/>
      <c r="J75" s="156"/>
      <c r="K75" s="156"/>
      <c r="L75" s="156"/>
      <c r="M75" s="156"/>
      <c r="N75" s="137" t="str">
        <f t="shared" ca="1" si="16"/>
        <v>x 5</v>
      </c>
      <c r="O75" s="137" t="str">
        <f t="shared" ca="1" si="17"/>
        <v/>
      </c>
      <c r="P75" s="138"/>
      <c r="Q75" s="138"/>
      <c r="R75" s="134"/>
      <c r="S75" s="134"/>
      <c r="T75" s="134"/>
      <c r="U75" s="134"/>
      <c r="V75" s="134"/>
      <c r="W75" s="134"/>
      <c r="X75" s="134"/>
      <c r="Y75" s="134"/>
      <c r="Z75" s="139"/>
      <c r="AA75" s="134"/>
      <c r="AB75" s="134"/>
      <c r="AC75" s="134"/>
      <c r="AD75" s="134"/>
      <c r="AE75" s="134"/>
      <c r="AF75" s="134"/>
      <c r="AG75" s="134"/>
      <c r="AH75" s="141">
        <v>1</v>
      </c>
      <c r="AI75" s="13"/>
    </row>
    <row r="76" spans="1:35" s="142" customFormat="1" ht="30" customHeight="1" x14ac:dyDescent="0.25">
      <c r="A76" s="151">
        <v>144</v>
      </c>
      <c r="B76" s="133" t="str">
        <f t="shared" ca="1" si="12"/>
        <v>B.7</v>
      </c>
      <c r="C76" s="134">
        <f t="shared" ca="1" si="13"/>
        <v>2</v>
      </c>
      <c r="D76" s="20"/>
      <c r="E76" s="159" t="str">
        <f t="shared" ca="1" si="14"/>
        <v>Step 7</v>
      </c>
      <c r="F76" s="160" t="str">
        <f t="shared" ca="1" si="15"/>
        <v>Conduct sufficient research and planning</v>
      </c>
      <c r="G76" s="160"/>
      <c r="H76" s="160"/>
      <c r="I76" s="160"/>
      <c r="J76" s="160"/>
      <c r="K76" s="160"/>
      <c r="L76" s="160"/>
      <c r="M76" s="160"/>
      <c r="N76" s="160" t="str">
        <f t="shared" ca="1" si="16"/>
        <v/>
      </c>
      <c r="O76" s="160" t="str">
        <f t="shared" ca="1" si="17"/>
        <v/>
      </c>
      <c r="P76" s="160"/>
      <c r="Q76" s="160"/>
      <c r="R76" s="160"/>
      <c r="S76" s="160"/>
      <c r="T76" s="160"/>
      <c r="U76" s="160"/>
      <c r="V76" s="160"/>
      <c r="W76" s="160"/>
      <c r="X76" s="160"/>
      <c r="Y76" s="160"/>
      <c r="Z76" s="160"/>
      <c r="AA76" s="160"/>
      <c r="AB76" s="160"/>
      <c r="AC76" s="160"/>
      <c r="AD76" s="160"/>
      <c r="AE76" s="160"/>
      <c r="AF76" s="160"/>
      <c r="AG76" s="160"/>
      <c r="AH76" s="141">
        <v>1</v>
      </c>
      <c r="AI76" s="13"/>
    </row>
    <row r="77" spans="1:35" s="142" customFormat="1" ht="30" customHeight="1" x14ac:dyDescent="0.25">
      <c r="A77" s="154">
        <v>145</v>
      </c>
      <c r="B77" s="133" t="str">
        <f t="shared" ca="1" si="12"/>
        <v>B.7.01</v>
      </c>
      <c r="C77" s="134">
        <f t="shared" ca="1" si="13"/>
        <v>5</v>
      </c>
      <c r="D77" s="20"/>
      <c r="E77" s="135" t="str">
        <f t="shared" ca="1" si="14"/>
        <v>B.7.01</v>
      </c>
      <c r="F77" s="157" t="str">
        <f t="shared" ca="1" si="15"/>
        <v>Are detailed, agreed test plans produced to provide guidelines for the penetration testing to be undertaken?</v>
      </c>
      <c r="G77" s="134"/>
      <c r="H77" s="156"/>
      <c r="I77" s="158"/>
      <c r="J77" s="156"/>
      <c r="K77" s="156"/>
      <c r="L77" s="156"/>
      <c r="M77" s="156"/>
      <c r="N77" s="137" t="str">
        <f t="shared" ca="1" si="16"/>
        <v>x 1</v>
      </c>
      <c r="O77" s="137" t="str">
        <f t="shared" ca="1" si="17"/>
        <v/>
      </c>
      <c r="P77" s="138"/>
      <c r="Q77" s="138"/>
      <c r="R77" s="134"/>
      <c r="S77" s="134"/>
      <c r="T77" s="134"/>
      <c r="U77" s="134"/>
      <c r="V77" s="134"/>
      <c r="W77" s="134"/>
      <c r="X77" s="134"/>
      <c r="Y77" s="134"/>
      <c r="Z77" s="139"/>
      <c r="AA77" s="134"/>
      <c r="AB77" s="134"/>
      <c r="AC77" s="134"/>
      <c r="AD77" s="134"/>
      <c r="AE77" s="134"/>
      <c r="AF77" s="134"/>
      <c r="AG77" s="134"/>
      <c r="AH77" s="141">
        <v>1</v>
      </c>
      <c r="AI77" s="13"/>
    </row>
    <row r="78" spans="1:35" s="142" customFormat="1" ht="30" customHeight="1" x14ac:dyDescent="0.25">
      <c r="A78" s="154">
        <v>146</v>
      </c>
      <c r="B78" s="133" t="str">
        <f t="shared" ca="1" si="12"/>
        <v/>
      </c>
      <c r="C78" s="134">
        <f t="shared" ca="1" si="13"/>
        <v>3</v>
      </c>
      <c r="D78" s="20"/>
      <c r="E78" s="135" t="str">
        <f t="shared" ca="1" si="14"/>
        <v/>
      </c>
      <c r="F78" s="155" t="str">
        <f t="shared" ca="1" si="15"/>
        <v>Test plans should be produced by your testing service provider and agreed with your organisation prior to any testing commencing.</v>
      </c>
      <c r="G78" s="155"/>
      <c r="H78" s="155"/>
      <c r="I78" s="155"/>
      <c r="J78" s="155"/>
      <c r="K78" s="155"/>
      <c r="L78" s="155"/>
      <c r="M78" s="155"/>
      <c r="N78" s="137" t="str">
        <f t="shared" ca="1" si="16"/>
        <v/>
      </c>
      <c r="O78" s="134" t="str">
        <f t="shared" ca="1" si="17"/>
        <v/>
      </c>
      <c r="P78" s="138"/>
      <c r="Q78" s="138"/>
      <c r="R78" s="134"/>
      <c r="S78" s="134"/>
      <c r="T78" s="134"/>
      <c r="U78" s="134"/>
      <c r="V78" s="134"/>
      <c r="W78" s="134"/>
      <c r="X78" s="134"/>
      <c r="Y78" s="134"/>
      <c r="Z78" s="139"/>
      <c r="AA78" s="134"/>
      <c r="AB78" s="134"/>
      <c r="AC78" s="134"/>
      <c r="AD78" s="134"/>
      <c r="AE78" s="134"/>
      <c r="AF78" s="134"/>
      <c r="AG78" s="134"/>
      <c r="AH78" s="137">
        <v>1</v>
      </c>
      <c r="AI78" s="13"/>
    </row>
    <row r="79" spans="1:35" s="142" customFormat="1" ht="45" x14ac:dyDescent="0.25">
      <c r="A79" s="154">
        <v>147</v>
      </c>
      <c r="B79" s="133" t="str">
        <f t="shared" ca="1" si="12"/>
        <v>B.7.02</v>
      </c>
      <c r="C79" s="134">
        <f t="shared" ca="1" si="13"/>
        <v>5</v>
      </c>
      <c r="D79" s="20"/>
      <c r="E79" s="135" t="str">
        <f t="shared" ca="1" si="14"/>
        <v>B.7.02</v>
      </c>
      <c r="F79" s="157" t="str">
        <f t="shared" ca="1" si="15"/>
        <v>Do test plans specify what will actually be done during the test itself and help to assure the process for a proper security test without creating misunderstandings, misconceptions, or false expectations?</v>
      </c>
      <c r="G79" s="134"/>
      <c r="H79" s="156"/>
      <c r="I79" s="158"/>
      <c r="J79" s="156"/>
      <c r="K79" s="156"/>
      <c r="L79" s="156"/>
      <c r="M79" s="156"/>
      <c r="N79" s="137" t="str">
        <f t="shared" ca="1" si="16"/>
        <v>x 4</v>
      </c>
      <c r="O79" s="137" t="str">
        <f t="shared" ca="1" si="17"/>
        <v/>
      </c>
      <c r="P79" s="138"/>
      <c r="Q79" s="138"/>
      <c r="R79" s="134"/>
      <c r="S79" s="134"/>
      <c r="T79" s="134"/>
      <c r="U79" s="134"/>
      <c r="V79" s="134"/>
      <c r="W79" s="134"/>
      <c r="X79" s="134"/>
      <c r="Y79" s="134"/>
      <c r="Z79" s="139"/>
      <c r="AA79" s="134"/>
      <c r="AB79" s="134"/>
      <c r="AC79" s="134"/>
      <c r="AD79" s="134"/>
      <c r="AE79" s="134"/>
      <c r="AF79" s="134"/>
      <c r="AG79" s="134"/>
      <c r="AH79" s="141">
        <v>1</v>
      </c>
      <c r="AI79" s="13"/>
    </row>
    <row r="80" spans="1:35" s="142" customFormat="1" ht="45" x14ac:dyDescent="0.25">
      <c r="A80" s="154">
        <v>148</v>
      </c>
      <c r="B80" s="133" t="str">
        <f t="shared" ca="1" si="12"/>
        <v>B.7.03</v>
      </c>
      <c r="C80" s="134">
        <f t="shared" ca="1" si="13"/>
        <v>5</v>
      </c>
      <c r="D80" s="20"/>
      <c r="E80" s="135" t="str">
        <f t="shared" ca="1" si="14"/>
        <v>B.7.03</v>
      </c>
      <c r="F80" s="157" t="str">
        <f t="shared" ca="1" si="15"/>
        <v>Do penetration tests include carrying out sufficient research to imitate the research activities that a potential attacker could undertake to find out as much about the target environment and how it works as possible?</v>
      </c>
      <c r="G80" s="134"/>
      <c r="H80" s="156"/>
      <c r="I80" s="158"/>
      <c r="J80" s="156"/>
      <c r="K80" s="156"/>
      <c r="L80" s="156"/>
      <c r="M80" s="156"/>
      <c r="N80" s="137" t="str">
        <f t="shared" ca="1" si="16"/>
        <v>x 3</v>
      </c>
      <c r="O80" s="137" t="str">
        <f t="shared" ca="1" si="17"/>
        <v/>
      </c>
      <c r="P80" s="138"/>
      <c r="Q80" s="138"/>
      <c r="R80" s="134"/>
      <c r="S80" s="134"/>
      <c r="T80" s="134"/>
      <c r="U80" s="134"/>
      <c r="V80" s="134"/>
      <c r="W80" s="134"/>
      <c r="X80" s="134"/>
      <c r="Y80" s="134"/>
      <c r="Z80" s="139"/>
      <c r="AA80" s="134"/>
      <c r="AB80" s="134"/>
      <c r="AC80" s="134"/>
      <c r="AD80" s="134"/>
      <c r="AE80" s="134"/>
      <c r="AF80" s="134"/>
      <c r="AG80" s="134"/>
      <c r="AH80" s="141">
        <v>1</v>
      </c>
      <c r="AI80" s="13"/>
    </row>
    <row r="81" spans="1:35" s="142" customFormat="1" ht="30" customHeight="1" x14ac:dyDescent="0.25">
      <c r="A81" s="154">
        <v>149</v>
      </c>
      <c r="B81" s="133" t="str">
        <f t="shared" ca="1" si="12"/>
        <v>B.7.04</v>
      </c>
      <c r="C81" s="134">
        <f t="shared" ca="1" si="13"/>
        <v>5</v>
      </c>
      <c r="D81" s="20"/>
      <c r="E81" s="135" t="str">
        <f t="shared" ca="1" si="14"/>
        <v>B.7.04</v>
      </c>
      <c r="F81" s="157" t="str">
        <f t="shared" ca="1" si="15"/>
        <v>Does the research undertaken include gathering, collating and analysing all relevant information about the target?</v>
      </c>
      <c r="G81" s="134"/>
      <c r="H81" s="156"/>
      <c r="I81" s="158"/>
      <c r="J81" s="156"/>
      <c r="K81" s="156"/>
      <c r="L81" s="156"/>
      <c r="M81" s="156"/>
      <c r="N81" s="137" t="str">
        <f t="shared" ca="1" si="16"/>
        <v>x 2</v>
      </c>
      <c r="O81" s="137" t="str">
        <f t="shared" ca="1" si="17"/>
        <v/>
      </c>
      <c r="P81" s="138"/>
      <c r="Q81" s="138"/>
      <c r="R81" s="134"/>
      <c r="S81" s="134"/>
      <c r="T81" s="134"/>
      <c r="U81" s="134"/>
      <c r="V81" s="134"/>
      <c r="W81" s="134"/>
      <c r="X81" s="134"/>
      <c r="Y81" s="134"/>
      <c r="Z81" s="139"/>
      <c r="AA81" s="134"/>
      <c r="AB81" s="134"/>
      <c r="AC81" s="134"/>
      <c r="AD81" s="134"/>
      <c r="AE81" s="134"/>
      <c r="AF81" s="134"/>
      <c r="AG81" s="134"/>
      <c r="AH81" s="141">
        <v>1</v>
      </c>
      <c r="AI81" s="13"/>
    </row>
    <row r="82" spans="1:35" s="142" customFormat="1" ht="60" x14ac:dyDescent="0.25">
      <c r="A82" s="154">
        <v>150</v>
      </c>
      <c r="B82" s="133" t="str">
        <f t="shared" ca="1" si="12"/>
        <v/>
      </c>
      <c r="C82" s="134">
        <f t="shared" ca="1" si="13"/>
        <v>3</v>
      </c>
      <c r="D82" s="20"/>
      <c r="E82" s="135" t="str">
        <f t="shared" ca="1" si="14"/>
        <v/>
      </c>
      <c r="F82" s="155" t="str">
        <f t="shared" ca="1" si="15"/>
        <v>Relevant information should include data: obtained from public sources of information, such as the Internet; through information sharing networks (e.g. CERTs); and via authorised social engineering sources.</v>
      </c>
      <c r="G82" s="155"/>
      <c r="H82" s="155"/>
      <c r="I82" s="155"/>
      <c r="J82" s="155"/>
      <c r="K82" s="155"/>
      <c r="L82" s="155"/>
      <c r="M82" s="155"/>
      <c r="N82" s="137" t="str">
        <f t="shared" ca="1" si="16"/>
        <v/>
      </c>
      <c r="O82" s="134" t="str">
        <f t="shared" ca="1" si="17"/>
        <v/>
      </c>
      <c r="P82" s="138"/>
      <c r="Q82" s="138"/>
      <c r="R82" s="134"/>
      <c r="S82" s="134"/>
      <c r="T82" s="134"/>
      <c r="U82" s="134"/>
      <c r="V82" s="134"/>
      <c r="W82" s="134"/>
      <c r="X82" s="134"/>
      <c r="Y82" s="134"/>
      <c r="Z82" s="139"/>
      <c r="AA82" s="134"/>
      <c r="AB82" s="134"/>
      <c r="AC82" s="134"/>
      <c r="AD82" s="134"/>
      <c r="AE82" s="134"/>
      <c r="AF82" s="134"/>
      <c r="AG82" s="134"/>
      <c r="AH82" s="137">
        <v>1</v>
      </c>
      <c r="AI82" s="13"/>
    </row>
    <row r="83" spans="1:35" s="142" customFormat="1" ht="30" customHeight="1" x14ac:dyDescent="0.25">
      <c r="A83" s="154">
        <v>151</v>
      </c>
      <c r="B83" s="133" t="str">
        <f t="shared" ca="1" si="12"/>
        <v>B.7.05</v>
      </c>
      <c r="C83" s="134">
        <f t="shared" ca="1" si="13"/>
        <v>5</v>
      </c>
      <c r="D83" s="20"/>
      <c r="E83" s="135" t="str">
        <f t="shared" ca="1" si="14"/>
        <v>B.7.05</v>
      </c>
      <c r="F83" s="157" t="str">
        <f t="shared" ca="1" si="15"/>
        <v>Is information about the target based on threat intelligence?</v>
      </c>
      <c r="G83" s="134"/>
      <c r="H83" s="156"/>
      <c r="I83" s="158"/>
      <c r="J83" s="156"/>
      <c r="K83" s="156"/>
      <c r="L83" s="156"/>
      <c r="M83" s="156"/>
      <c r="N83" s="137" t="str">
        <f t="shared" ca="1" si="16"/>
        <v>x 5</v>
      </c>
      <c r="O83" s="137" t="str">
        <f t="shared" ca="1" si="17"/>
        <v/>
      </c>
      <c r="P83" s="138"/>
      <c r="Q83" s="138"/>
      <c r="R83" s="134"/>
      <c r="S83" s="134"/>
      <c r="T83" s="134"/>
      <c r="U83" s="134"/>
      <c r="V83" s="134"/>
      <c r="W83" s="134"/>
      <c r="X83" s="134"/>
      <c r="Y83" s="134"/>
      <c r="Z83" s="139"/>
      <c r="AA83" s="134"/>
      <c r="AB83" s="134"/>
      <c r="AC83" s="134"/>
      <c r="AD83" s="134"/>
      <c r="AE83" s="134"/>
      <c r="AF83" s="134"/>
      <c r="AG83" s="134"/>
      <c r="AH83" s="141">
        <v>1</v>
      </c>
      <c r="AI83" s="13"/>
    </row>
    <row r="84" spans="1:35" s="142" customFormat="1" ht="30" customHeight="1" x14ac:dyDescent="0.25">
      <c r="A84" s="154">
        <v>152</v>
      </c>
      <c r="B84" s="133" t="str">
        <f t="shared" ca="1" si="12"/>
        <v>B.7.06</v>
      </c>
      <c r="C84" s="134">
        <f t="shared" ca="1" si="13"/>
        <v>5</v>
      </c>
      <c r="D84" s="20"/>
      <c r="E84" s="135" t="str">
        <f t="shared" ca="1" si="14"/>
        <v>B.7.06</v>
      </c>
      <c r="F84" s="157" t="str">
        <f t="shared" ca="1" si="15"/>
        <v>Does the research undertaken include carrying out reconnaissance?</v>
      </c>
      <c r="G84" s="134"/>
      <c r="H84" s="156"/>
      <c r="I84" s="158"/>
      <c r="J84" s="156"/>
      <c r="K84" s="156"/>
      <c r="L84" s="156"/>
      <c r="M84" s="156"/>
      <c r="N84" s="137" t="str">
        <f t="shared" ca="1" si="16"/>
        <v>x 3</v>
      </c>
      <c r="O84" s="137" t="str">
        <f t="shared" ca="1" si="17"/>
        <v/>
      </c>
      <c r="P84" s="138"/>
      <c r="Q84" s="138"/>
      <c r="R84" s="134"/>
      <c r="S84" s="134"/>
      <c r="T84" s="134"/>
      <c r="U84" s="134"/>
      <c r="V84" s="134"/>
      <c r="W84" s="134"/>
      <c r="X84" s="134"/>
      <c r="Y84" s="134"/>
      <c r="Z84" s="139"/>
      <c r="AA84" s="134"/>
      <c r="AB84" s="134"/>
      <c r="AC84" s="134"/>
      <c r="AD84" s="134"/>
      <c r="AE84" s="134"/>
      <c r="AF84" s="134"/>
      <c r="AG84" s="134"/>
      <c r="AH84" s="141">
        <v>1</v>
      </c>
      <c r="AI84" s="13"/>
    </row>
    <row r="85" spans="1:35" s="142" customFormat="1" ht="60" x14ac:dyDescent="0.25">
      <c r="A85" s="154">
        <v>153</v>
      </c>
      <c r="B85" s="133" t="str">
        <f t="shared" ca="1" si="12"/>
        <v/>
      </c>
      <c r="C85" s="134">
        <f t="shared" ca="1" si="13"/>
        <v>3</v>
      </c>
      <c r="D85" s="20"/>
      <c r="E85" s="135" t="str">
        <f t="shared" ca="1" si="14"/>
        <v/>
      </c>
      <c r="F85" s="155" t="str">
        <f t="shared" ca="1" si="15"/>
        <v>Reconnaissance should include collating and analysing information about the target obtaining positive confirmation of information about the target (e.g. to confirm that system configuration and security controls are as expected).</v>
      </c>
      <c r="G85" s="155"/>
      <c r="H85" s="155"/>
      <c r="I85" s="155"/>
      <c r="J85" s="155"/>
      <c r="K85" s="155"/>
      <c r="L85" s="155"/>
      <c r="M85" s="155"/>
      <c r="N85" s="137" t="str">
        <f t="shared" ca="1" si="16"/>
        <v/>
      </c>
      <c r="O85" s="134" t="str">
        <f t="shared" ca="1" si="17"/>
        <v/>
      </c>
      <c r="P85" s="138"/>
      <c r="Q85" s="138"/>
      <c r="R85" s="134"/>
      <c r="S85" s="134"/>
      <c r="T85" s="134"/>
      <c r="U85" s="134"/>
      <c r="V85" s="134"/>
      <c r="W85" s="134"/>
      <c r="X85" s="134"/>
      <c r="Y85" s="134"/>
      <c r="Z85" s="139"/>
      <c r="AA85" s="134"/>
      <c r="AB85" s="134"/>
      <c r="AC85" s="134"/>
      <c r="AD85" s="134"/>
      <c r="AE85" s="134"/>
      <c r="AF85" s="134"/>
      <c r="AG85" s="134"/>
      <c r="AH85" s="137">
        <v>1</v>
      </c>
      <c r="AI85" s="13"/>
    </row>
    <row r="86" spans="1:35" s="142" customFormat="1" ht="30" customHeight="1" x14ac:dyDescent="0.25">
      <c r="A86" s="154">
        <v>154</v>
      </c>
      <c r="B86" s="133" t="str">
        <f t="shared" ca="1" si="12"/>
        <v>B.7.07</v>
      </c>
      <c r="C86" s="134">
        <f t="shared" ca="1" si="13"/>
        <v>5</v>
      </c>
      <c r="D86" s="20"/>
      <c r="E86" s="135" t="str">
        <f t="shared" ca="1" si="14"/>
        <v>B.7.07</v>
      </c>
      <c r="F86" s="157" t="str">
        <f t="shared" ca="1" si="15"/>
        <v>Does the research undertaken include network enumeration / scanning?</v>
      </c>
      <c r="G86" s="134"/>
      <c r="H86" s="156"/>
      <c r="I86" s="158"/>
      <c r="J86" s="156"/>
      <c r="K86" s="156"/>
      <c r="L86" s="156"/>
      <c r="M86" s="156"/>
      <c r="N86" s="137" t="str">
        <f t="shared" ca="1" si="16"/>
        <v>x 3</v>
      </c>
      <c r="O86" s="137" t="str">
        <f t="shared" ca="1" si="17"/>
        <v/>
      </c>
      <c r="P86" s="138"/>
      <c r="Q86" s="138"/>
      <c r="R86" s="134"/>
      <c r="S86" s="134"/>
      <c r="T86" s="134"/>
      <c r="U86" s="134"/>
      <c r="V86" s="134"/>
      <c r="W86" s="134"/>
      <c r="X86" s="134"/>
      <c r="Y86" s="134"/>
      <c r="Z86" s="139"/>
      <c r="AA86" s="134"/>
      <c r="AB86" s="134"/>
      <c r="AC86" s="134"/>
      <c r="AD86" s="134"/>
      <c r="AE86" s="134"/>
      <c r="AF86" s="134"/>
      <c r="AG86" s="134"/>
      <c r="AH86" s="141">
        <v>1</v>
      </c>
      <c r="AI86" s="13"/>
    </row>
    <row r="87" spans="1:35" s="142" customFormat="1" ht="60" x14ac:dyDescent="0.25">
      <c r="A87" s="154">
        <v>155</v>
      </c>
      <c r="B87" s="133" t="str">
        <f t="shared" ca="1" si="12"/>
        <v/>
      </c>
      <c r="C87" s="134">
        <f t="shared" ca="1" si="13"/>
        <v>3</v>
      </c>
      <c r="D87" s="20"/>
      <c r="E87" s="135" t="str">
        <f t="shared" ca="1" si="14"/>
        <v/>
      </c>
      <c r="F87" s="155" t="str">
        <f t="shared" ca="1" si="15"/>
        <v>Network enumeration / scanning should include identifying the potential points of access being offered by a target by scanning for open services on targets and establishing the existence of possible user identification credentials.</v>
      </c>
      <c r="G87" s="155"/>
      <c r="H87" s="155"/>
      <c r="I87" s="155"/>
      <c r="J87" s="155"/>
      <c r="K87" s="155"/>
      <c r="L87" s="155"/>
      <c r="M87" s="155"/>
      <c r="N87" s="137" t="str">
        <f t="shared" ca="1" si="16"/>
        <v/>
      </c>
      <c r="O87" s="134" t="str">
        <f t="shared" ca="1" si="17"/>
        <v/>
      </c>
      <c r="P87" s="138"/>
      <c r="Q87" s="138"/>
      <c r="R87" s="134"/>
      <c r="S87" s="134"/>
      <c r="T87" s="134"/>
      <c r="U87" s="134"/>
      <c r="V87" s="134"/>
      <c r="W87" s="134"/>
      <c r="X87" s="134"/>
      <c r="Y87" s="134"/>
      <c r="Z87" s="139"/>
      <c r="AA87" s="134"/>
      <c r="AB87" s="134"/>
      <c r="AC87" s="134"/>
      <c r="AD87" s="134"/>
      <c r="AE87" s="134"/>
      <c r="AF87" s="134"/>
      <c r="AG87" s="134"/>
      <c r="AH87" s="137">
        <v>1</v>
      </c>
      <c r="AI87" s="13"/>
    </row>
    <row r="88" spans="1:35" s="142" customFormat="1" ht="30" customHeight="1" x14ac:dyDescent="0.25">
      <c r="A88" s="154">
        <v>156</v>
      </c>
      <c r="B88" s="133" t="str">
        <f t="shared" ca="1" si="12"/>
        <v>B.7.08</v>
      </c>
      <c r="C88" s="134">
        <f t="shared" ca="1" si="13"/>
        <v>5</v>
      </c>
      <c r="D88" s="20"/>
      <c r="E88" s="135" t="str">
        <f t="shared" ca="1" si="14"/>
        <v>B.7.08</v>
      </c>
      <c r="F88" s="157" t="str">
        <f t="shared" ca="1" si="15"/>
        <v>Does the research undertaken include discovery and assessment?</v>
      </c>
      <c r="G88" s="134"/>
      <c r="H88" s="156"/>
      <c r="I88" s="158"/>
      <c r="J88" s="156"/>
      <c r="K88" s="156"/>
      <c r="L88" s="156"/>
      <c r="M88" s="156"/>
      <c r="N88" s="137" t="str">
        <f t="shared" ca="1" si="16"/>
        <v>x 3</v>
      </c>
      <c r="O88" s="137" t="str">
        <f t="shared" ca="1" si="17"/>
        <v/>
      </c>
      <c r="P88" s="138"/>
      <c r="Q88" s="138"/>
      <c r="R88" s="134"/>
      <c r="S88" s="134"/>
      <c r="T88" s="134"/>
      <c r="U88" s="134"/>
      <c r="V88" s="134"/>
      <c r="W88" s="134"/>
      <c r="X88" s="134"/>
      <c r="Y88" s="134"/>
      <c r="Z88" s="139"/>
      <c r="AA88" s="134"/>
      <c r="AB88" s="134"/>
      <c r="AC88" s="134"/>
      <c r="AD88" s="134"/>
      <c r="AE88" s="134"/>
      <c r="AF88" s="134"/>
      <c r="AG88" s="134"/>
      <c r="AH88" s="141">
        <v>1</v>
      </c>
      <c r="AI88" s="13"/>
    </row>
    <row r="89" spans="1:35" s="142" customFormat="1" ht="30" customHeight="1" x14ac:dyDescent="0.25">
      <c r="A89" s="151">
        <v>157</v>
      </c>
      <c r="B89" s="133" t="str">
        <f t="shared" ca="1" si="12"/>
        <v>B.8</v>
      </c>
      <c r="C89" s="134">
        <f t="shared" ca="1" si="13"/>
        <v>2</v>
      </c>
      <c r="D89" s="20"/>
      <c r="E89" s="159" t="str">
        <f t="shared" ca="1" si="14"/>
        <v>Step 8</v>
      </c>
      <c r="F89" s="160" t="str">
        <f t="shared" ca="1" si="15"/>
        <v>Identify and exploit vulnerabilities</v>
      </c>
      <c r="G89" s="160"/>
      <c r="H89" s="160"/>
      <c r="I89" s="160"/>
      <c r="J89" s="160"/>
      <c r="K89" s="160"/>
      <c r="L89" s="160"/>
      <c r="M89" s="160"/>
      <c r="N89" s="160" t="str">
        <f t="shared" ca="1" si="16"/>
        <v/>
      </c>
      <c r="O89" s="160" t="str">
        <f t="shared" ca="1" si="17"/>
        <v/>
      </c>
      <c r="P89" s="160"/>
      <c r="Q89" s="160"/>
      <c r="R89" s="160"/>
      <c r="S89" s="160"/>
      <c r="T89" s="160"/>
      <c r="U89" s="160"/>
      <c r="V89" s="160"/>
      <c r="W89" s="160"/>
      <c r="X89" s="160"/>
      <c r="Y89" s="160"/>
      <c r="Z89" s="160"/>
      <c r="AA89" s="160"/>
      <c r="AB89" s="160"/>
      <c r="AC89" s="160"/>
      <c r="AD89" s="160"/>
      <c r="AE89" s="160"/>
      <c r="AF89" s="160"/>
      <c r="AG89" s="160"/>
      <c r="AH89" s="141">
        <v>1</v>
      </c>
      <c r="AI89" s="13"/>
    </row>
    <row r="90" spans="1:35" s="142" customFormat="1" ht="30" customHeight="1" x14ac:dyDescent="0.25">
      <c r="A90" s="154">
        <v>158</v>
      </c>
      <c r="B90" s="133" t="str">
        <f t="shared" ca="1" si="12"/>
        <v>B.8.01</v>
      </c>
      <c r="C90" s="134">
        <f t="shared" ca="1" si="13"/>
        <v>5</v>
      </c>
      <c r="D90" s="20"/>
      <c r="E90" s="135" t="str">
        <f t="shared" ca="1" si="14"/>
        <v>B.8.01</v>
      </c>
      <c r="F90" s="157" t="str">
        <f t="shared" ca="1" si="15"/>
        <v>Do penetration tests identify a range of potential vulnerabilities in target systems?</v>
      </c>
      <c r="G90" s="134"/>
      <c r="H90" s="156"/>
      <c r="I90" s="158"/>
      <c r="J90" s="156"/>
      <c r="K90" s="156"/>
      <c r="L90" s="156"/>
      <c r="M90" s="156"/>
      <c r="N90" s="137" t="str">
        <f t="shared" ca="1" si="16"/>
        <v>x 1</v>
      </c>
      <c r="O90" s="137" t="str">
        <f t="shared" ca="1" si="17"/>
        <v/>
      </c>
      <c r="P90" s="138"/>
      <c r="Q90" s="138"/>
      <c r="R90" s="134"/>
      <c r="S90" s="134"/>
      <c r="T90" s="134"/>
      <c r="U90" s="134"/>
      <c r="V90" s="134"/>
      <c r="W90" s="134"/>
      <c r="X90" s="134"/>
      <c r="Y90" s="134"/>
      <c r="Z90" s="139"/>
      <c r="AA90" s="134"/>
      <c r="AB90" s="134"/>
      <c r="AC90" s="134"/>
      <c r="AD90" s="134"/>
      <c r="AE90" s="134"/>
      <c r="AF90" s="134"/>
      <c r="AG90" s="134"/>
      <c r="AH90" s="141">
        <v>1</v>
      </c>
      <c r="AI90" s="13"/>
    </row>
    <row r="91" spans="1:35" s="142" customFormat="1" ht="60" x14ac:dyDescent="0.25">
      <c r="A91" s="154">
        <v>159</v>
      </c>
      <c r="B91" s="133" t="str">
        <f t="shared" ca="1" si="12"/>
        <v>B.8.02</v>
      </c>
      <c r="C91" s="134">
        <f t="shared" ca="1" si="13"/>
        <v>5</v>
      </c>
      <c r="D91" s="20"/>
      <c r="E91" s="135" t="str">
        <f t="shared" ca="1" si="14"/>
        <v>B.8.02</v>
      </c>
      <c r="F91" s="157" t="str">
        <f t="shared" ca="1" si="15"/>
        <v>Does vulnerability identification include testers examining: attack avenues, vectors and threat agents (e.g. using attack trees); results from threat analysis; technical system / network / application vulnerabilities; and control weaknesses</v>
      </c>
      <c r="G91" s="134"/>
      <c r="H91" s="156"/>
      <c r="I91" s="158"/>
      <c r="J91" s="156"/>
      <c r="K91" s="156"/>
      <c r="L91" s="156"/>
      <c r="M91" s="156"/>
      <c r="N91" s="137" t="str">
        <f t="shared" ca="1" si="16"/>
        <v>x 4</v>
      </c>
      <c r="O91" s="137" t="str">
        <f t="shared" ca="1" si="17"/>
        <v/>
      </c>
      <c r="P91" s="138"/>
      <c r="Q91" s="138"/>
      <c r="R91" s="134"/>
      <c r="S91" s="134"/>
      <c r="T91" s="134"/>
      <c r="U91" s="134"/>
      <c r="V91" s="134"/>
      <c r="W91" s="134"/>
      <c r="X91" s="134"/>
      <c r="Y91" s="134"/>
      <c r="Z91" s="139"/>
      <c r="AA91" s="134"/>
      <c r="AB91" s="134"/>
      <c r="AC91" s="134"/>
      <c r="AD91" s="134"/>
      <c r="AE91" s="134"/>
      <c r="AF91" s="134"/>
      <c r="AG91" s="134"/>
      <c r="AH91" s="141">
        <v>1</v>
      </c>
      <c r="AI91" s="13"/>
    </row>
    <row r="92" spans="1:35" s="142" customFormat="1" ht="60" x14ac:dyDescent="0.25">
      <c r="A92" s="154">
        <v>160</v>
      </c>
      <c r="B92" s="133" t="str">
        <f t="shared" ca="1" si="12"/>
        <v>B.8.03</v>
      </c>
      <c r="C92" s="134">
        <f t="shared" ca="1" si="13"/>
        <v>5</v>
      </c>
      <c r="D92" s="20"/>
      <c r="E92" s="135" t="str">
        <f t="shared" ca="1" si="14"/>
        <v>B.8.03</v>
      </c>
      <c r="F92" s="157" t="str">
        <f t="shared" ca="1" si="15"/>
        <v>Do tests include reviewing vulnerabilities identified by third parties, such as the ‘OWASP Top Ten’, which presents a list of common security vulnerabilities found in web applications (i.e. injection attacks, cross-site scripting and failure to restrict URL access)?</v>
      </c>
      <c r="G92" s="134"/>
      <c r="H92" s="156"/>
      <c r="I92" s="158"/>
      <c r="J92" s="156"/>
      <c r="K92" s="156"/>
      <c r="L92" s="156"/>
      <c r="M92" s="156"/>
      <c r="N92" s="137" t="str">
        <f t="shared" ca="1" si="16"/>
        <v>x 3</v>
      </c>
      <c r="O92" s="137" t="str">
        <f t="shared" ca="1" si="17"/>
        <v/>
      </c>
      <c r="P92" s="138"/>
      <c r="Q92" s="138"/>
      <c r="R92" s="134"/>
      <c r="S92" s="134"/>
      <c r="T92" s="134"/>
      <c r="U92" s="134"/>
      <c r="V92" s="134"/>
      <c r="W92" s="134"/>
      <c r="X92" s="134"/>
      <c r="Y92" s="134"/>
      <c r="Z92" s="139"/>
      <c r="AA92" s="134"/>
      <c r="AB92" s="134"/>
      <c r="AC92" s="134"/>
      <c r="AD92" s="134"/>
      <c r="AE92" s="134"/>
      <c r="AF92" s="134"/>
      <c r="AG92" s="134"/>
      <c r="AH92" s="141">
        <v>1</v>
      </c>
      <c r="AI92" s="13"/>
    </row>
    <row r="93" spans="1:35" s="142" customFormat="1" ht="45" x14ac:dyDescent="0.25">
      <c r="A93" s="154">
        <v>161</v>
      </c>
      <c r="B93" s="133" t="str">
        <f t="shared" ca="1" si="12"/>
        <v>B.8.04</v>
      </c>
      <c r="C93" s="134">
        <f t="shared" ca="1" si="13"/>
        <v>5</v>
      </c>
      <c r="D93" s="20"/>
      <c r="E93" s="135" t="str">
        <f t="shared" ca="1" si="14"/>
        <v>B.8.04</v>
      </c>
      <c r="F93" s="157" t="str">
        <f t="shared" ca="1" si="15"/>
        <v>Do tests include identifying the cause of any vulnerabilities discovered, for example resulting from a lack of understanding of IT security issues (e.g. by web developers and users of mobile devices)?</v>
      </c>
      <c r="G93" s="134"/>
      <c r="H93" s="156"/>
      <c r="I93" s="158"/>
      <c r="J93" s="156"/>
      <c r="K93" s="156"/>
      <c r="L93" s="156"/>
      <c r="M93" s="156"/>
      <c r="N93" s="137" t="str">
        <f t="shared" ca="1" si="16"/>
        <v>x 4</v>
      </c>
      <c r="O93" s="137" t="str">
        <f t="shared" ca="1" si="17"/>
        <v/>
      </c>
      <c r="P93" s="138"/>
      <c r="Q93" s="138"/>
      <c r="R93" s="134"/>
      <c r="S93" s="134"/>
      <c r="T93" s="134"/>
      <c r="U93" s="134"/>
      <c r="V93" s="134"/>
      <c r="W93" s="134"/>
      <c r="X93" s="134"/>
      <c r="Y93" s="134"/>
      <c r="Z93" s="139"/>
      <c r="AA93" s="134"/>
      <c r="AB93" s="134"/>
      <c r="AC93" s="134"/>
      <c r="AD93" s="134"/>
      <c r="AE93" s="134"/>
      <c r="AF93" s="134"/>
      <c r="AG93" s="134"/>
      <c r="AH93" s="141">
        <v>1</v>
      </c>
      <c r="AI93" s="13"/>
    </row>
    <row r="94" spans="1:35" s="142" customFormat="1" ht="30" customHeight="1" x14ac:dyDescent="0.25">
      <c r="A94" s="154">
        <v>162</v>
      </c>
      <c r="B94" s="133" t="str">
        <f t="shared" ca="1" si="12"/>
        <v>B.8.05</v>
      </c>
      <c r="C94" s="134">
        <f t="shared" ca="1" si="13"/>
        <v>5</v>
      </c>
      <c r="D94" s="20"/>
      <c r="E94" s="135" t="str">
        <f t="shared" ca="1" si="14"/>
        <v>B.8.05</v>
      </c>
      <c r="F94" s="157" t="str">
        <f t="shared" ca="1" si="15"/>
        <v>Do penetration testers try to exploit the vulnerabilities identified and actually penetrate the target system?</v>
      </c>
      <c r="G94" s="134"/>
      <c r="H94" s="156"/>
      <c r="I94" s="158"/>
      <c r="J94" s="156"/>
      <c r="K94" s="156"/>
      <c r="L94" s="156"/>
      <c r="M94" s="156"/>
      <c r="N94" s="137" t="str">
        <f t="shared" ca="1" si="16"/>
        <v>x 2</v>
      </c>
      <c r="O94" s="137" t="str">
        <f t="shared" ca="1" si="17"/>
        <v/>
      </c>
      <c r="P94" s="138"/>
      <c r="Q94" s="138"/>
      <c r="R94" s="134"/>
      <c r="S94" s="134"/>
      <c r="T94" s="134"/>
      <c r="U94" s="134"/>
      <c r="V94" s="134"/>
      <c r="W94" s="134"/>
      <c r="X94" s="134"/>
      <c r="Y94" s="134"/>
      <c r="Z94" s="139"/>
      <c r="AA94" s="134"/>
      <c r="AB94" s="134"/>
      <c r="AC94" s="134"/>
      <c r="AD94" s="134"/>
      <c r="AE94" s="134"/>
      <c r="AF94" s="134"/>
      <c r="AG94" s="134"/>
      <c r="AH94" s="141">
        <v>1</v>
      </c>
      <c r="AI94" s="13"/>
    </row>
    <row r="95" spans="1:35" s="142" customFormat="1" ht="45" x14ac:dyDescent="0.25">
      <c r="A95" s="154">
        <v>163</v>
      </c>
      <c r="B95" s="133" t="str">
        <f t="shared" ca="1" si="12"/>
        <v>B.8.06</v>
      </c>
      <c r="C95" s="134">
        <f t="shared" ca="1" si="13"/>
        <v>5</v>
      </c>
      <c r="D95" s="20"/>
      <c r="E95" s="135" t="str">
        <f t="shared" ca="1" si="14"/>
        <v>B.8.06</v>
      </c>
      <c r="F95" s="157" t="str">
        <f t="shared" ca="1" si="15"/>
        <v>Do testers use a range of techniques (e.g. exploitation frameworks, stand-alone exploits, and other tactics) to try and take advantage of specific weaknesses?</v>
      </c>
      <c r="G95" s="134"/>
      <c r="H95" s="156"/>
      <c r="I95" s="158"/>
      <c r="J95" s="156"/>
      <c r="K95" s="156"/>
      <c r="L95" s="156"/>
      <c r="M95" s="156"/>
      <c r="N95" s="137" t="str">
        <f t="shared" ca="1" si="16"/>
        <v>x 5</v>
      </c>
      <c r="O95" s="137" t="str">
        <f t="shared" ca="1" si="17"/>
        <v/>
      </c>
      <c r="P95" s="138"/>
      <c r="Q95" s="138"/>
      <c r="R95" s="134"/>
      <c r="S95" s="134"/>
      <c r="T95" s="134"/>
      <c r="U95" s="134"/>
      <c r="V95" s="134"/>
      <c r="W95" s="134"/>
      <c r="X95" s="134"/>
      <c r="Y95" s="134"/>
      <c r="Z95" s="139"/>
      <c r="AA95" s="134"/>
      <c r="AB95" s="134"/>
      <c r="AC95" s="134"/>
      <c r="AD95" s="134"/>
      <c r="AE95" s="134"/>
      <c r="AF95" s="134"/>
      <c r="AG95" s="134"/>
      <c r="AH95" s="141">
        <v>1</v>
      </c>
      <c r="AI95" s="13"/>
    </row>
    <row r="96" spans="1:35" s="142" customFormat="1" ht="105" x14ac:dyDescent="0.25">
      <c r="A96" s="154">
        <v>164</v>
      </c>
      <c r="B96" s="133" t="str">
        <f t="shared" ca="1" si="12"/>
        <v/>
      </c>
      <c r="C96" s="134">
        <f t="shared" ca="1" si="13"/>
        <v>3</v>
      </c>
      <c r="D96" s="20"/>
      <c r="E96" s="135" t="str">
        <f t="shared" ca="1" si="14"/>
        <v/>
      </c>
      <c r="F96" s="155" t="str">
        <f t="shared" ca="1" si="15"/>
        <v>Exploitation techniques include: specific Exploit techniques (e.g. for web applications); Escalation techniques, gaining further access within a target, once an initial level of access has been obtained; advancement techniques, attempting to move on from the compromised target to find other vulnerable systems; and analysis techniques, verifying the raw data to ensure that the test has been thorough and comprehensive.</v>
      </c>
      <c r="G96" s="155"/>
      <c r="H96" s="155"/>
      <c r="I96" s="155"/>
      <c r="J96" s="155"/>
      <c r="K96" s="155"/>
      <c r="L96" s="155"/>
      <c r="M96" s="155"/>
      <c r="N96" s="137" t="str">
        <f t="shared" ca="1" si="16"/>
        <v/>
      </c>
      <c r="O96" s="134" t="str">
        <f t="shared" ca="1" si="17"/>
        <v/>
      </c>
      <c r="P96" s="138"/>
      <c r="Q96" s="138"/>
      <c r="R96" s="134"/>
      <c r="S96" s="134"/>
      <c r="T96" s="134"/>
      <c r="U96" s="134"/>
      <c r="V96" s="134"/>
      <c r="W96" s="134"/>
      <c r="X96" s="134"/>
      <c r="Y96" s="134"/>
      <c r="Z96" s="139"/>
      <c r="AA96" s="134"/>
      <c r="AB96" s="134"/>
      <c r="AC96" s="134"/>
      <c r="AD96" s="134"/>
      <c r="AE96" s="134"/>
      <c r="AF96" s="134"/>
      <c r="AG96" s="134"/>
      <c r="AH96" s="137">
        <v>1</v>
      </c>
      <c r="AI96" s="13"/>
    </row>
    <row r="97" spans="1:35" s="142" customFormat="1" ht="30" customHeight="1" x14ac:dyDescent="0.25">
      <c r="A97" s="151">
        <v>165</v>
      </c>
      <c r="B97" s="133" t="str">
        <f t="shared" ca="1" si="12"/>
        <v>B.9</v>
      </c>
      <c r="C97" s="134">
        <f t="shared" ca="1" si="13"/>
        <v>2</v>
      </c>
      <c r="D97" s="20"/>
      <c r="E97" s="159" t="str">
        <f t="shared" ca="1" si="14"/>
        <v>Step 9</v>
      </c>
      <c r="F97" s="160" t="str">
        <f t="shared" ca="1" si="15"/>
        <v>Report key findings</v>
      </c>
      <c r="G97" s="160"/>
      <c r="H97" s="160"/>
      <c r="I97" s="160"/>
      <c r="J97" s="160"/>
      <c r="K97" s="160"/>
      <c r="L97" s="160"/>
      <c r="M97" s="160"/>
      <c r="N97" s="160" t="str">
        <f t="shared" ca="1" si="16"/>
        <v/>
      </c>
      <c r="O97" s="160" t="str">
        <f t="shared" ca="1" si="17"/>
        <v/>
      </c>
      <c r="P97" s="160"/>
      <c r="Q97" s="160"/>
      <c r="R97" s="160"/>
      <c r="S97" s="160"/>
      <c r="T97" s="160"/>
      <c r="U97" s="160"/>
      <c r="V97" s="160"/>
      <c r="W97" s="160"/>
      <c r="X97" s="160"/>
      <c r="Y97" s="160"/>
      <c r="Z97" s="160"/>
      <c r="AA97" s="160"/>
      <c r="AB97" s="160"/>
      <c r="AC97" s="160"/>
      <c r="AD97" s="160"/>
      <c r="AE97" s="160"/>
      <c r="AF97" s="160"/>
      <c r="AG97" s="160"/>
      <c r="AH97" s="141">
        <v>1</v>
      </c>
      <c r="AI97" s="13"/>
    </row>
    <row r="98" spans="1:35" s="142" customFormat="1" ht="60" x14ac:dyDescent="0.25">
      <c r="A98" s="154">
        <v>166</v>
      </c>
      <c r="B98" s="133" t="str">
        <f t="shared" ca="1" si="12"/>
        <v>B.9.01</v>
      </c>
      <c r="C98" s="134">
        <f t="shared" ca="1" si="13"/>
        <v>5</v>
      </c>
      <c r="D98" s="20"/>
      <c r="E98" s="135" t="str">
        <f t="shared" ca="1" si="14"/>
        <v>B.9.01</v>
      </c>
      <c r="F98" s="157" t="str">
        <f t="shared" ca="1" si="15"/>
        <v>Are findings identified during the penetration test reported to your organisation in both technical terms that can be acted upon and non-technical, business context, so that the justifications for the corrective actions are understood; as well as in a formal report?</v>
      </c>
      <c r="G98" s="134"/>
      <c r="H98" s="156"/>
      <c r="I98" s="158"/>
      <c r="J98" s="156"/>
      <c r="K98" s="156"/>
      <c r="L98" s="156"/>
      <c r="M98" s="156"/>
      <c r="N98" s="137" t="str">
        <f t="shared" ca="1" si="16"/>
        <v>x 1</v>
      </c>
      <c r="O98" s="137" t="str">
        <f t="shared" ca="1" si="17"/>
        <v/>
      </c>
      <c r="P98" s="138"/>
      <c r="Q98" s="138"/>
      <c r="R98" s="134"/>
      <c r="S98" s="134"/>
      <c r="T98" s="134"/>
      <c r="U98" s="134"/>
      <c r="V98" s="134"/>
      <c r="W98" s="134"/>
      <c r="X98" s="134"/>
      <c r="Y98" s="134"/>
      <c r="Z98" s="139"/>
      <c r="AA98" s="134"/>
      <c r="AB98" s="134"/>
      <c r="AC98" s="134"/>
      <c r="AD98" s="134"/>
      <c r="AE98" s="134"/>
      <c r="AF98" s="134"/>
      <c r="AG98" s="134"/>
      <c r="AH98" s="141">
        <v>1</v>
      </c>
      <c r="AI98" s="13"/>
    </row>
    <row r="99" spans="1:35" s="142" customFormat="1" ht="30" customHeight="1" x14ac:dyDescent="0.25">
      <c r="A99" s="154">
        <v>167</v>
      </c>
      <c r="B99" s="133" t="str">
        <f t="shared" ca="1" si="12"/>
        <v>B.9.02</v>
      </c>
      <c r="C99" s="134">
        <f t="shared" ca="1" si="13"/>
        <v>5</v>
      </c>
      <c r="D99" s="20"/>
      <c r="E99" s="135" t="str">
        <f t="shared" ca="1" si="14"/>
        <v>B.9.02</v>
      </c>
      <c r="F99" s="157" t="str">
        <f t="shared" ca="1" si="15"/>
        <v>Do penetration testing reports describe the vulnerabilities found?</v>
      </c>
      <c r="G99" s="134"/>
      <c r="H99" s="156"/>
      <c r="I99" s="158"/>
      <c r="J99" s="156"/>
      <c r="K99" s="156"/>
      <c r="L99" s="156"/>
      <c r="M99" s="156"/>
      <c r="N99" s="137" t="str">
        <f t="shared" ca="1" si="16"/>
        <v>x 4</v>
      </c>
      <c r="O99" s="137" t="str">
        <f t="shared" ca="1" si="17"/>
        <v/>
      </c>
      <c r="P99" s="138"/>
      <c r="Q99" s="138"/>
      <c r="R99" s="134"/>
      <c r="S99" s="134"/>
      <c r="T99" s="134"/>
      <c r="U99" s="134"/>
      <c r="V99" s="134"/>
      <c r="W99" s="134"/>
      <c r="X99" s="134"/>
      <c r="Y99" s="134"/>
      <c r="Z99" s="139"/>
      <c r="AA99" s="134"/>
      <c r="AB99" s="134"/>
      <c r="AC99" s="134"/>
      <c r="AD99" s="134"/>
      <c r="AE99" s="134"/>
      <c r="AF99" s="134"/>
      <c r="AG99" s="134"/>
      <c r="AH99" s="141">
        <v>1</v>
      </c>
      <c r="AI99" s="13"/>
    </row>
    <row r="100" spans="1:35" s="142" customFormat="1" ht="75" x14ac:dyDescent="0.25">
      <c r="A100" s="154">
        <v>168</v>
      </c>
      <c r="B100" s="133" t="str">
        <f t="shared" ca="1" si="12"/>
        <v/>
      </c>
      <c r="C100" s="134">
        <f t="shared" ca="1" si="13"/>
        <v>3</v>
      </c>
      <c r="D100" s="20"/>
      <c r="E100" s="135" t="str">
        <f t="shared" ca="1" si="14"/>
        <v/>
      </c>
      <c r="F100" s="155" t="str">
        <f t="shared" ca="1" si="15"/>
        <v>Penetration testing reports should describe the vulnerabilities found by including: test narrative – describing the process that the tester used to achieve particular results; test evidence – results of automated testing tools and screen shots of successful exploits; and details about the associated technical risks (and how to address them).</v>
      </c>
      <c r="G100" s="155"/>
      <c r="H100" s="155"/>
      <c r="I100" s="155"/>
      <c r="J100" s="155"/>
      <c r="K100" s="155"/>
      <c r="L100" s="155"/>
      <c r="M100" s="155"/>
      <c r="N100" s="137" t="str">
        <f t="shared" ca="1" si="16"/>
        <v/>
      </c>
      <c r="O100" s="134" t="str">
        <f t="shared" ca="1" si="17"/>
        <v/>
      </c>
      <c r="P100" s="138"/>
      <c r="Q100" s="138"/>
      <c r="R100" s="134"/>
      <c r="S100" s="134"/>
      <c r="T100" s="134"/>
      <c r="U100" s="134"/>
      <c r="V100" s="134"/>
      <c r="W100" s="134"/>
      <c r="X100" s="134"/>
      <c r="Y100" s="134"/>
      <c r="Z100" s="139"/>
      <c r="AA100" s="134"/>
      <c r="AB100" s="134"/>
      <c r="AC100" s="134"/>
      <c r="AD100" s="134"/>
      <c r="AE100" s="134"/>
      <c r="AF100" s="134"/>
      <c r="AG100" s="134"/>
      <c r="AH100" s="137">
        <v>1</v>
      </c>
      <c r="AI100" s="13"/>
    </row>
    <row r="101" spans="1:35" s="142" customFormat="1" ht="30" customHeight="1" x14ac:dyDescent="0.25">
      <c r="A101" s="154">
        <v>169</v>
      </c>
      <c r="B101" s="133" t="str">
        <f t="shared" ca="1" si="12"/>
        <v>B.9.03</v>
      </c>
      <c r="C101" s="134">
        <f t="shared" ca="1" si="13"/>
        <v>5</v>
      </c>
      <c r="D101" s="20"/>
      <c r="E101" s="135" t="str">
        <f t="shared" ca="1" si="14"/>
        <v>B.9.03</v>
      </c>
      <c r="F101" s="157" t="str">
        <f t="shared" ca="1" si="15"/>
        <v>Are penetration testing reports used to present remediation activities undertaken and the root causes of issues identified?</v>
      </c>
      <c r="G101" s="134"/>
      <c r="H101" s="156"/>
      <c r="I101" s="158"/>
      <c r="J101" s="156"/>
      <c r="K101" s="156"/>
      <c r="L101" s="156"/>
      <c r="M101" s="156"/>
      <c r="N101" s="137" t="str">
        <f t="shared" ca="1" si="16"/>
        <v>x 4</v>
      </c>
      <c r="O101" s="137" t="str">
        <f t="shared" ca="1" si="17"/>
        <v/>
      </c>
      <c r="P101" s="138"/>
      <c r="Q101" s="138"/>
      <c r="R101" s="134"/>
      <c r="S101" s="134"/>
      <c r="T101" s="134"/>
      <c r="U101" s="134"/>
      <c r="V101" s="134"/>
      <c r="W101" s="134"/>
      <c r="X101" s="134"/>
      <c r="Y101" s="134"/>
      <c r="Z101" s="139"/>
      <c r="AA101" s="134"/>
      <c r="AB101" s="134"/>
      <c r="AC101" s="134"/>
      <c r="AD101" s="134"/>
      <c r="AE101" s="134"/>
      <c r="AF101" s="134"/>
      <c r="AG101" s="134"/>
      <c r="AH101" s="141">
        <v>1</v>
      </c>
      <c r="AI101" s="13"/>
    </row>
    <row r="102" spans="1:35" s="142" customFormat="1" ht="30" customHeight="1" x14ac:dyDescent="0.25">
      <c r="A102" s="154">
        <v>170</v>
      </c>
      <c r="B102" s="133" t="str">
        <f t="shared" ca="1" si="12"/>
        <v>B.9.04</v>
      </c>
      <c r="C102" s="134">
        <f t="shared" ca="1" si="13"/>
        <v>5</v>
      </c>
      <c r="D102" s="20"/>
      <c r="E102" s="135" t="str">
        <f t="shared" ca="1" si="14"/>
        <v>B.9.04</v>
      </c>
      <c r="F102" s="157" t="str">
        <f t="shared" ca="1" si="15"/>
        <v>Are penetration testing reports disseminated to relevant staff - and acted upon?</v>
      </c>
      <c r="G102" s="134"/>
      <c r="H102" s="156"/>
      <c r="I102" s="158"/>
      <c r="J102" s="156"/>
      <c r="K102" s="156"/>
      <c r="L102" s="156"/>
      <c r="M102" s="156"/>
      <c r="N102" s="137" t="str">
        <f t="shared" ca="1" si="16"/>
        <v>x 3</v>
      </c>
      <c r="O102" s="137" t="str">
        <f t="shared" ca="1" si="17"/>
        <v/>
      </c>
      <c r="P102" s="138"/>
      <c r="Q102" s="138"/>
      <c r="R102" s="134"/>
      <c r="S102" s="134"/>
      <c r="T102" s="134"/>
      <c r="U102" s="134"/>
      <c r="V102" s="134"/>
      <c r="W102" s="134"/>
      <c r="X102" s="134"/>
      <c r="Y102" s="134"/>
      <c r="Z102" s="139"/>
      <c r="AA102" s="134"/>
      <c r="AB102" s="134"/>
      <c r="AC102" s="134"/>
      <c r="AD102" s="134"/>
      <c r="AE102" s="134"/>
      <c r="AF102" s="134"/>
      <c r="AG102" s="134"/>
      <c r="AH102" s="141">
        <v>1</v>
      </c>
      <c r="AI102" s="13"/>
    </row>
    <row r="103" spans="1:35" s="142" customFormat="1" ht="30" customHeight="1" x14ac:dyDescent="0.25">
      <c r="A103" s="154">
        <v>171</v>
      </c>
      <c r="B103" s="133" t="str">
        <f t="shared" ca="1" si="12"/>
        <v>B.9.05</v>
      </c>
      <c r="C103" s="134">
        <f t="shared" ca="1" si="13"/>
        <v>5</v>
      </c>
      <c r="D103" s="20"/>
      <c r="E103" s="135" t="str">
        <f t="shared" ca="1" si="14"/>
        <v>B.9.05</v>
      </c>
      <c r="F103" s="157" t="str">
        <f t="shared" ca="1" si="15"/>
        <v>Does test reporting include a comprehensive presentation from your service provider about the key findings identified?</v>
      </c>
      <c r="G103" s="134"/>
      <c r="H103" s="156"/>
      <c r="I103" s="158"/>
      <c r="J103" s="156"/>
      <c r="K103" s="156"/>
      <c r="L103" s="156"/>
      <c r="M103" s="156"/>
      <c r="N103" s="137" t="str">
        <f t="shared" ca="1" si="16"/>
        <v>x 5</v>
      </c>
      <c r="O103" s="137" t="str">
        <f t="shared" ca="1" si="17"/>
        <v/>
      </c>
      <c r="P103" s="138"/>
      <c r="Q103" s="138"/>
      <c r="R103" s="134"/>
      <c r="S103" s="134"/>
      <c r="T103" s="134"/>
      <c r="U103" s="134"/>
      <c r="V103" s="134"/>
      <c r="W103" s="134"/>
      <c r="X103" s="134"/>
      <c r="Y103" s="134"/>
      <c r="Z103" s="139"/>
      <c r="AA103" s="134"/>
      <c r="AB103" s="134"/>
      <c r="AC103" s="134"/>
      <c r="AD103" s="134"/>
      <c r="AE103" s="134"/>
      <c r="AF103" s="134"/>
      <c r="AG103" s="134"/>
      <c r="AH103" s="141">
        <v>1</v>
      </c>
      <c r="AI103" s="13"/>
    </row>
    <row r="104" spans="1:35" s="142" customFormat="1" ht="60" x14ac:dyDescent="0.25">
      <c r="A104" s="154">
        <v>172</v>
      </c>
      <c r="B104" s="133" t="str">
        <f t="shared" ref="B104" ca="1" si="18">VLOOKUP(A104,Contents_Text,2,FALSE)</f>
        <v/>
      </c>
      <c r="C104" s="134">
        <f t="shared" ca="1" si="13"/>
        <v>3</v>
      </c>
      <c r="D104" s="20"/>
      <c r="E104" s="135" t="str">
        <f t="shared" ca="1" si="14"/>
        <v/>
      </c>
      <c r="F104" s="155" t="str">
        <f t="shared" ca="1" si="15"/>
        <v>The presentation about test findings identified should provide details about: how testers found the vulnerabilities; what could be the outcome of each vulnerability; the level of risk to the business for each vulnerability; and advice on how to remediate each vulnerability.</v>
      </c>
      <c r="G104" s="155"/>
      <c r="H104" s="155"/>
      <c r="I104" s="155"/>
      <c r="J104" s="155"/>
      <c r="K104" s="155"/>
      <c r="L104" s="155"/>
      <c r="M104" s="155"/>
      <c r="N104" s="137" t="str">
        <f t="shared" ca="1" si="16"/>
        <v/>
      </c>
      <c r="O104" s="134" t="str">
        <f t="shared" ca="1" si="17"/>
        <v/>
      </c>
      <c r="P104" s="138"/>
      <c r="Q104" s="138"/>
      <c r="R104" s="134"/>
      <c r="S104" s="134"/>
      <c r="T104" s="134"/>
      <c r="U104" s="134"/>
      <c r="V104" s="134"/>
      <c r="W104" s="134"/>
      <c r="X104" s="134"/>
      <c r="Y104" s="134"/>
      <c r="Z104" s="139"/>
      <c r="AA104" s="134"/>
      <c r="AB104" s="134"/>
      <c r="AC104" s="134"/>
      <c r="AD104" s="134"/>
      <c r="AE104" s="134"/>
      <c r="AF104" s="134"/>
      <c r="AG104" s="134"/>
      <c r="AH104" s="137">
        <v>1</v>
      </c>
      <c r="AI104" s="13"/>
    </row>
  </sheetData>
  <sheetProtection algorithmName="SHA-512" hashValue="K7T2+NQohW9KhD9XB1fKwnR7WHjGkabgxk2vFhK+ZjOZDX+vVXRCvawPCo2c1gWTjv7LE2FCDITLTHW6fUhMHQ==" saltValue="cDt8YtKPt6xrw0YOVH++4Q==" spinCount="100000" sheet="1" objects="1" scenarios="1"/>
  <sortState xmlns:xlrd2="http://schemas.microsoft.com/office/spreadsheetml/2017/richdata2" ref="A8:AI108">
    <sortCondition ref="A8:A108"/>
  </sortState>
  <dataConsolidate/>
  <mergeCells count="1">
    <mergeCell ref="F2:F5"/>
  </mergeCells>
  <conditionalFormatting sqref="H33:M33 H66:M104">
    <cfRule type="expression" dxfId="9" priority="13" stopIfTrue="1">
      <formula>$C33=2</formula>
    </cfRule>
    <cfRule type="expression" dxfId="8" priority="14">
      <formula>$C33&gt;4</formula>
    </cfRule>
  </conditionalFormatting>
  <conditionalFormatting sqref="H34:M44">
    <cfRule type="expression" dxfId="7" priority="11" stopIfTrue="1">
      <formula>$C34=2</formula>
    </cfRule>
    <cfRule type="expression" dxfId="6" priority="12">
      <formula>$C34&gt;4</formula>
    </cfRule>
  </conditionalFormatting>
  <conditionalFormatting sqref="H45:M62 H64:M64">
    <cfRule type="expression" dxfId="5" priority="9" stopIfTrue="1">
      <formula>$C45=2</formula>
    </cfRule>
    <cfRule type="expression" dxfId="4" priority="10">
      <formula>$C45&gt;4</formula>
    </cfRule>
  </conditionalFormatting>
  <conditionalFormatting sqref="H63:M63">
    <cfRule type="expression" dxfId="3" priority="3" stopIfTrue="1">
      <formula>$C63=2</formula>
    </cfRule>
    <cfRule type="expression" dxfId="2" priority="4">
      <formula>$C63&gt;4</formula>
    </cfRule>
  </conditionalFormatting>
  <conditionalFormatting sqref="H65:M65">
    <cfRule type="expression" dxfId="1" priority="1" stopIfTrue="1">
      <formula>$C65=2</formula>
    </cfRule>
    <cfRule type="expression" dxfId="0" priority="2">
      <formula>$C65&gt;4</formula>
    </cfRule>
  </conditionalFormatting>
  <dataValidations count="1">
    <dataValidation type="custom" allowBlank="1" sqref="G29:G104 H29:M72" xr:uid="{00000000-0002-0000-0A00-000000000000}">
      <formula1>"""X"""</formula1>
    </dataValidation>
  </dataValidations>
  <pageMargins left="0.7" right="0.7" top="0.75" bottom="0.75" header="0.3" footer="0.3"/>
  <pageSetup paperSize="9" scale="38"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67984" r:id="rId4" name="Drop Down 48">
              <controlPr locked="0" defaultSize="0" autoFill="0" autoPict="0">
                <anchor moveWithCells="1">
                  <from>
                    <xdr:col>6</xdr:col>
                    <xdr:colOff>400050</xdr:colOff>
                    <xdr:row>9</xdr:row>
                    <xdr:rowOff>76200</xdr:rowOff>
                  </from>
                  <to>
                    <xdr:col>6</xdr:col>
                    <xdr:colOff>1638300</xdr:colOff>
                    <xdr:row>9</xdr:row>
                    <xdr:rowOff>304800</xdr:rowOff>
                  </to>
                </anchor>
              </controlPr>
            </control>
          </mc:Choice>
        </mc:AlternateContent>
        <mc:AlternateContent xmlns:mc="http://schemas.openxmlformats.org/markup-compatibility/2006">
          <mc:Choice Requires="x14">
            <control shapeId="167985" r:id="rId5" name="Drop Down 49">
              <controlPr locked="0" defaultSize="0" autoFill="0" autoPict="0">
                <anchor moveWithCells="1">
                  <from>
                    <xdr:col>6</xdr:col>
                    <xdr:colOff>400050</xdr:colOff>
                    <xdr:row>10</xdr:row>
                    <xdr:rowOff>76200</xdr:rowOff>
                  </from>
                  <to>
                    <xdr:col>6</xdr:col>
                    <xdr:colOff>1638300</xdr:colOff>
                    <xdr:row>10</xdr:row>
                    <xdr:rowOff>304800</xdr:rowOff>
                  </to>
                </anchor>
              </controlPr>
            </control>
          </mc:Choice>
        </mc:AlternateContent>
        <mc:AlternateContent xmlns:mc="http://schemas.openxmlformats.org/markup-compatibility/2006">
          <mc:Choice Requires="x14">
            <control shapeId="167986" r:id="rId6" name="Drop Down 50">
              <controlPr locked="0" defaultSize="0" autoFill="0" autoPict="0">
                <anchor moveWithCells="1">
                  <from>
                    <xdr:col>6</xdr:col>
                    <xdr:colOff>400050</xdr:colOff>
                    <xdr:row>11</xdr:row>
                    <xdr:rowOff>76200</xdr:rowOff>
                  </from>
                  <to>
                    <xdr:col>6</xdr:col>
                    <xdr:colOff>1638300</xdr:colOff>
                    <xdr:row>11</xdr:row>
                    <xdr:rowOff>304800</xdr:rowOff>
                  </to>
                </anchor>
              </controlPr>
            </control>
          </mc:Choice>
        </mc:AlternateContent>
        <mc:AlternateContent xmlns:mc="http://schemas.openxmlformats.org/markup-compatibility/2006">
          <mc:Choice Requires="x14">
            <control shapeId="167987" r:id="rId7" name="Drop Down 51">
              <controlPr locked="0" defaultSize="0" autoFill="0" autoPict="0">
                <anchor moveWithCells="1">
                  <from>
                    <xdr:col>6</xdr:col>
                    <xdr:colOff>400050</xdr:colOff>
                    <xdr:row>12</xdr:row>
                    <xdr:rowOff>76200</xdr:rowOff>
                  </from>
                  <to>
                    <xdr:col>6</xdr:col>
                    <xdr:colOff>1638300</xdr:colOff>
                    <xdr:row>12</xdr:row>
                    <xdr:rowOff>304800</xdr:rowOff>
                  </to>
                </anchor>
              </controlPr>
            </control>
          </mc:Choice>
        </mc:AlternateContent>
        <mc:AlternateContent xmlns:mc="http://schemas.openxmlformats.org/markup-compatibility/2006">
          <mc:Choice Requires="x14">
            <control shapeId="167988" r:id="rId8" name="Drop Down 52">
              <controlPr locked="0" defaultSize="0" autoFill="0" autoPict="0">
                <anchor moveWithCells="1">
                  <from>
                    <xdr:col>6</xdr:col>
                    <xdr:colOff>400050</xdr:colOff>
                    <xdr:row>13</xdr:row>
                    <xdr:rowOff>76200</xdr:rowOff>
                  </from>
                  <to>
                    <xdr:col>6</xdr:col>
                    <xdr:colOff>1638300</xdr:colOff>
                    <xdr:row>13</xdr:row>
                    <xdr:rowOff>304800</xdr:rowOff>
                  </to>
                </anchor>
              </controlPr>
            </control>
          </mc:Choice>
        </mc:AlternateContent>
        <mc:AlternateContent xmlns:mc="http://schemas.openxmlformats.org/markup-compatibility/2006">
          <mc:Choice Requires="x14">
            <control shapeId="167989" r:id="rId9" name="Drop Down 53">
              <controlPr locked="0" defaultSize="0" autoFill="0" autoPict="0">
                <anchor moveWithCells="1">
                  <from>
                    <xdr:col>6</xdr:col>
                    <xdr:colOff>400050</xdr:colOff>
                    <xdr:row>15</xdr:row>
                    <xdr:rowOff>76200</xdr:rowOff>
                  </from>
                  <to>
                    <xdr:col>6</xdr:col>
                    <xdr:colOff>1638300</xdr:colOff>
                    <xdr:row>15</xdr:row>
                    <xdr:rowOff>304800</xdr:rowOff>
                  </to>
                </anchor>
              </controlPr>
            </control>
          </mc:Choice>
        </mc:AlternateContent>
        <mc:AlternateContent xmlns:mc="http://schemas.openxmlformats.org/markup-compatibility/2006">
          <mc:Choice Requires="x14">
            <control shapeId="167990" r:id="rId10" name="Drop Down 54">
              <controlPr locked="0" defaultSize="0" autoFill="0" autoPict="0">
                <anchor moveWithCells="1">
                  <from>
                    <xdr:col>6</xdr:col>
                    <xdr:colOff>400050</xdr:colOff>
                    <xdr:row>16</xdr:row>
                    <xdr:rowOff>76200</xdr:rowOff>
                  </from>
                  <to>
                    <xdr:col>6</xdr:col>
                    <xdr:colOff>1638300</xdr:colOff>
                    <xdr:row>16</xdr:row>
                    <xdr:rowOff>304800</xdr:rowOff>
                  </to>
                </anchor>
              </controlPr>
            </control>
          </mc:Choice>
        </mc:AlternateContent>
        <mc:AlternateContent xmlns:mc="http://schemas.openxmlformats.org/markup-compatibility/2006">
          <mc:Choice Requires="x14">
            <control shapeId="167991" r:id="rId11" name="Drop Down 55">
              <controlPr locked="0" defaultSize="0" autoFill="0" autoPict="0">
                <anchor moveWithCells="1">
                  <from>
                    <xdr:col>6</xdr:col>
                    <xdr:colOff>400050</xdr:colOff>
                    <xdr:row>18</xdr:row>
                    <xdr:rowOff>76200</xdr:rowOff>
                  </from>
                  <to>
                    <xdr:col>6</xdr:col>
                    <xdr:colOff>1638300</xdr:colOff>
                    <xdr:row>18</xdr:row>
                    <xdr:rowOff>304800</xdr:rowOff>
                  </to>
                </anchor>
              </controlPr>
            </control>
          </mc:Choice>
        </mc:AlternateContent>
        <mc:AlternateContent xmlns:mc="http://schemas.openxmlformats.org/markup-compatibility/2006">
          <mc:Choice Requires="x14">
            <control shapeId="167992" r:id="rId12" name="Drop Down 56">
              <controlPr locked="0" defaultSize="0" autoFill="0" autoPict="0">
                <anchor moveWithCells="1">
                  <from>
                    <xdr:col>6</xdr:col>
                    <xdr:colOff>400050</xdr:colOff>
                    <xdr:row>20</xdr:row>
                    <xdr:rowOff>76200</xdr:rowOff>
                  </from>
                  <to>
                    <xdr:col>6</xdr:col>
                    <xdr:colOff>1638300</xdr:colOff>
                    <xdr:row>20</xdr:row>
                    <xdr:rowOff>304800</xdr:rowOff>
                  </to>
                </anchor>
              </controlPr>
            </control>
          </mc:Choice>
        </mc:AlternateContent>
        <mc:AlternateContent xmlns:mc="http://schemas.openxmlformats.org/markup-compatibility/2006">
          <mc:Choice Requires="x14">
            <control shapeId="167993" r:id="rId13" name="Drop Down 57">
              <controlPr locked="0" defaultSize="0" autoFill="0" autoPict="0">
                <anchor moveWithCells="1">
                  <from>
                    <xdr:col>6</xdr:col>
                    <xdr:colOff>400050</xdr:colOff>
                    <xdr:row>22</xdr:row>
                    <xdr:rowOff>76200</xdr:rowOff>
                  </from>
                  <to>
                    <xdr:col>6</xdr:col>
                    <xdr:colOff>1638300</xdr:colOff>
                    <xdr:row>22</xdr:row>
                    <xdr:rowOff>304800</xdr:rowOff>
                  </to>
                </anchor>
              </controlPr>
            </control>
          </mc:Choice>
        </mc:AlternateContent>
        <mc:AlternateContent xmlns:mc="http://schemas.openxmlformats.org/markup-compatibility/2006">
          <mc:Choice Requires="x14">
            <control shapeId="167994" r:id="rId14" name="Drop Down 58">
              <controlPr locked="0" defaultSize="0" autoFill="0" autoPict="0">
                <anchor moveWithCells="1">
                  <from>
                    <xdr:col>6</xdr:col>
                    <xdr:colOff>400050</xdr:colOff>
                    <xdr:row>24</xdr:row>
                    <xdr:rowOff>76200</xdr:rowOff>
                  </from>
                  <to>
                    <xdr:col>6</xdr:col>
                    <xdr:colOff>1638300</xdr:colOff>
                    <xdr:row>24</xdr:row>
                    <xdr:rowOff>304800</xdr:rowOff>
                  </to>
                </anchor>
              </controlPr>
            </control>
          </mc:Choice>
        </mc:AlternateContent>
        <mc:AlternateContent xmlns:mc="http://schemas.openxmlformats.org/markup-compatibility/2006">
          <mc:Choice Requires="x14">
            <control shapeId="167995" r:id="rId15" name="Drop Down 59">
              <controlPr locked="0" defaultSize="0" autoFill="0" autoPict="0">
                <anchor moveWithCells="1">
                  <from>
                    <xdr:col>6</xdr:col>
                    <xdr:colOff>400050</xdr:colOff>
                    <xdr:row>26</xdr:row>
                    <xdr:rowOff>76200</xdr:rowOff>
                  </from>
                  <to>
                    <xdr:col>6</xdr:col>
                    <xdr:colOff>1638300</xdr:colOff>
                    <xdr:row>26</xdr:row>
                    <xdr:rowOff>304800</xdr:rowOff>
                  </to>
                </anchor>
              </controlPr>
            </control>
          </mc:Choice>
        </mc:AlternateContent>
        <mc:AlternateContent xmlns:mc="http://schemas.openxmlformats.org/markup-compatibility/2006">
          <mc:Choice Requires="x14">
            <control shapeId="167996" r:id="rId16" name="Drop Down 60">
              <controlPr locked="0" defaultSize="0" autoFill="0" autoPict="0">
                <anchor moveWithCells="1">
                  <from>
                    <xdr:col>6</xdr:col>
                    <xdr:colOff>400050</xdr:colOff>
                    <xdr:row>28</xdr:row>
                    <xdr:rowOff>76200</xdr:rowOff>
                  </from>
                  <to>
                    <xdr:col>6</xdr:col>
                    <xdr:colOff>1638300</xdr:colOff>
                    <xdr:row>28</xdr:row>
                    <xdr:rowOff>304800</xdr:rowOff>
                  </to>
                </anchor>
              </controlPr>
            </control>
          </mc:Choice>
        </mc:AlternateContent>
        <mc:AlternateContent xmlns:mc="http://schemas.openxmlformats.org/markup-compatibility/2006">
          <mc:Choice Requires="x14">
            <control shapeId="167997" r:id="rId17" name="Drop Down 61">
              <controlPr locked="0" defaultSize="0" autoFill="0" autoPict="0">
                <anchor moveWithCells="1">
                  <from>
                    <xdr:col>6</xdr:col>
                    <xdr:colOff>400050</xdr:colOff>
                    <xdr:row>30</xdr:row>
                    <xdr:rowOff>76200</xdr:rowOff>
                  </from>
                  <to>
                    <xdr:col>6</xdr:col>
                    <xdr:colOff>1638300</xdr:colOff>
                    <xdr:row>30</xdr:row>
                    <xdr:rowOff>304800</xdr:rowOff>
                  </to>
                </anchor>
              </controlPr>
            </control>
          </mc:Choice>
        </mc:AlternateContent>
        <mc:AlternateContent xmlns:mc="http://schemas.openxmlformats.org/markup-compatibility/2006">
          <mc:Choice Requires="x14">
            <control shapeId="167998" r:id="rId18" name="Drop Down 62">
              <controlPr locked="0" defaultSize="0" autoFill="0" autoPict="0">
                <anchor moveWithCells="1">
                  <from>
                    <xdr:col>6</xdr:col>
                    <xdr:colOff>400050</xdr:colOff>
                    <xdr:row>31</xdr:row>
                    <xdr:rowOff>76200</xdr:rowOff>
                  </from>
                  <to>
                    <xdr:col>6</xdr:col>
                    <xdr:colOff>1638300</xdr:colOff>
                    <xdr:row>31</xdr:row>
                    <xdr:rowOff>304800</xdr:rowOff>
                  </to>
                </anchor>
              </controlPr>
            </control>
          </mc:Choice>
        </mc:AlternateContent>
        <mc:AlternateContent xmlns:mc="http://schemas.openxmlformats.org/markup-compatibility/2006">
          <mc:Choice Requires="x14">
            <control shapeId="167999" r:id="rId19" name="Drop Down 63">
              <controlPr locked="0" defaultSize="0" autoFill="0" autoPict="0">
                <anchor moveWithCells="1">
                  <from>
                    <xdr:col>6</xdr:col>
                    <xdr:colOff>400050</xdr:colOff>
                    <xdr:row>33</xdr:row>
                    <xdr:rowOff>76200</xdr:rowOff>
                  </from>
                  <to>
                    <xdr:col>6</xdr:col>
                    <xdr:colOff>1638300</xdr:colOff>
                    <xdr:row>33</xdr:row>
                    <xdr:rowOff>304800</xdr:rowOff>
                  </to>
                </anchor>
              </controlPr>
            </control>
          </mc:Choice>
        </mc:AlternateContent>
        <mc:AlternateContent xmlns:mc="http://schemas.openxmlformats.org/markup-compatibility/2006">
          <mc:Choice Requires="x14">
            <control shapeId="168000" r:id="rId20" name="Drop Down 64">
              <controlPr locked="0" defaultSize="0" autoFill="0" autoPict="0">
                <anchor moveWithCells="1">
                  <from>
                    <xdr:col>6</xdr:col>
                    <xdr:colOff>400050</xdr:colOff>
                    <xdr:row>35</xdr:row>
                    <xdr:rowOff>76200</xdr:rowOff>
                  </from>
                  <to>
                    <xdr:col>6</xdr:col>
                    <xdr:colOff>1638300</xdr:colOff>
                    <xdr:row>35</xdr:row>
                    <xdr:rowOff>304800</xdr:rowOff>
                  </to>
                </anchor>
              </controlPr>
            </control>
          </mc:Choice>
        </mc:AlternateContent>
        <mc:AlternateContent xmlns:mc="http://schemas.openxmlformats.org/markup-compatibility/2006">
          <mc:Choice Requires="x14">
            <control shapeId="168001" r:id="rId21" name="Drop Down 65">
              <controlPr locked="0" defaultSize="0" autoFill="0" autoPict="0">
                <anchor moveWithCells="1">
                  <from>
                    <xdr:col>6</xdr:col>
                    <xdr:colOff>400050</xdr:colOff>
                    <xdr:row>37</xdr:row>
                    <xdr:rowOff>76200</xdr:rowOff>
                  </from>
                  <to>
                    <xdr:col>6</xdr:col>
                    <xdr:colOff>1638300</xdr:colOff>
                    <xdr:row>37</xdr:row>
                    <xdr:rowOff>304800</xdr:rowOff>
                  </to>
                </anchor>
              </controlPr>
            </control>
          </mc:Choice>
        </mc:AlternateContent>
        <mc:AlternateContent xmlns:mc="http://schemas.openxmlformats.org/markup-compatibility/2006">
          <mc:Choice Requires="x14">
            <control shapeId="168002" r:id="rId22" name="Drop Down 66">
              <controlPr locked="0" defaultSize="0" autoFill="0" autoPict="0">
                <anchor moveWithCells="1">
                  <from>
                    <xdr:col>6</xdr:col>
                    <xdr:colOff>400050</xdr:colOff>
                    <xdr:row>39</xdr:row>
                    <xdr:rowOff>76200</xdr:rowOff>
                  </from>
                  <to>
                    <xdr:col>6</xdr:col>
                    <xdr:colOff>1638300</xdr:colOff>
                    <xdr:row>39</xdr:row>
                    <xdr:rowOff>304800</xdr:rowOff>
                  </to>
                </anchor>
              </controlPr>
            </control>
          </mc:Choice>
        </mc:AlternateContent>
        <mc:AlternateContent xmlns:mc="http://schemas.openxmlformats.org/markup-compatibility/2006">
          <mc:Choice Requires="x14">
            <control shapeId="168003" r:id="rId23" name="Drop Down 67">
              <controlPr locked="0" defaultSize="0" autoFill="0" autoPict="0">
                <anchor moveWithCells="1">
                  <from>
                    <xdr:col>6</xdr:col>
                    <xdr:colOff>400050</xdr:colOff>
                    <xdr:row>41</xdr:row>
                    <xdr:rowOff>76200</xdr:rowOff>
                  </from>
                  <to>
                    <xdr:col>6</xdr:col>
                    <xdr:colOff>1638300</xdr:colOff>
                    <xdr:row>41</xdr:row>
                    <xdr:rowOff>304800</xdr:rowOff>
                  </to>
                </anchor>
              </controlPr>
            </control>
          </mc:Choice>
        </mc:AlternateContent>
        <mc:AlternateContent xmlns:mc="http://schemas.openxmlformats.org/markup-compatibility/2006">
          <mc:Choice Requires="x14">
            <control shapeId="168004" r:id="rId24" name="Drop Down 68">
              <controlPr locked="0" defaultSize="0" autoFill="0" autoPict="0">
                <anchor moveWithCells="1">
                  <from>
                    <xdr:col>6</xdr:col>
                    <xdr:colOff>400050</xdr:colOff>
                    <xdr:row>42</xdr:row>
                    <xdr:rowOff>76200</xdr:rowOff>
                  </from>
                  <to>
                    <xdr:col>6</xdr:col>
                    <xdr:colOff>1638300</xdr:colOff>
                    <xdr:row>42</xdr:row>
                    <xdr:rowOff>304800</xdr:rowOff>
                  </to>
                </anchor>
              </controlPr>
            </control>
          </mc:Choice>
        </mc:AlternateContent>
        <mc:AlternateContent xmlns:mc="http://schemas.openxmlformats.org/markup-compatibility/2006">
          <mc:Choice Requires="x14">
            <control shapeId="168005" r:id="rId25" name="Drop Down 69">
              <controlPr locked="0" defaultSize="0" autoFill="0" autoPict="0">
                <anchor moveWithCells="1">
                  <from>
                    <xdr:col>6</xdr:col>
                    <xdr:colOff>400050</xdr:colOff>
                    <xdr:row>44</xdr:row>
                    <xdr:rowOff>76200</xdr:rowOff>
                  </from>
                  <to>
                    <xdr:col>6</xdr:col>
                    <xdr:colOff>1638300</xdr:colOff>
                    <xdr:row>44</xdr:row>
                    <xdr:rowOff>304800</xdr:rowOff>
                  </to>
                </anchor>
              </controlPr>
            </control>
          </mc:Choice>
        </mc:AlternateContent>
        <mc:AlternateContent xmlns:mc="http://schemas.openxmlformats.org/markup-compatibility/2006">
          <mc:Choice Requires="x14">
            <control shapeId="168006" r:id="rId26" name="Drop Down 70">
              <controlPr locked="0" defaultSize="0" autoFill="0" autoPict="0">
                <anchor moveWithCells="1">
                  <from>
                    <xdr:col>6</xdr:col>
                    <xdr:colOff>400050</xdr:colOff>
                    <xdr:row>45</xdr:row>
                    <xdr:rowOff>76200</xdr:rowOff>
                  </from>
                  <to>
                    <xdr:col>6</xdr:col>
                    <xdr:colOff>1638300</xdr:colOff>
                    <xdr:row>45</xdr:row>
                    <xdr:rowOff>304800</xdr:rowOff>
                  </to>
                </anchor>
              </controlPr>
            </control>
          </mc:Choice>
        </mc:AlternateContent>
        <mc:AlternateContent xmlns:mc="http://schemas.openxmlformats.org/markup-compatibility/2006">
          <mc:Choice Requires="x14">
            <control shapeId="168007" r:id="rId27" name="Drop Down 71">
              <controlPr locked="0" defaultSize="0" autoFill="0" autoPict="0">
                <anchor moveWithCells="1">
                  <from>
                    <xdr:col>6</xdr:col>
                    <xdr:colOff>400050</xdr:colOff>
                    <xdr:row>46</xdr:row>
                    <xdr:rowOff>76200</xdr:rowOff>
                  </from>
                  <to>
                    <xdr:col>6</xdr:col>
                    <xdr:colOff>1638300</xdr:colOff>
                    <xdr:row>46</xdr:row>
                    <xdr:rowOff>304800</xdr:rowOff>
                  </to>
                </anchor>
              </controlPr>
            </control>
          </mc:Choice>
        </mc:AlternateContent>
        <mc:AlternateContent xmlns:mc="http://schemas.openxmlformats.org/markup-compatibility/2006">
          <mc:Choice Requires="x14">
            <control shapeId="168008" r:id="rId28" name="Drop Down 72">
              <controlPr locked="0" defaultSize="0" autoFill="0" autoPict="0">
                <anchor moveWithCells="1">
                  <from>
                    <xdr:col>6</xdr:col>
                    <xdr:colOff>400050</xdr:colOff>
                    <xdr:row>48</xdr:row>
                    <xdr:rowOff>76200</xdr:rowOff>
                  </from>
                  <to>
                    <xdr:col>6</xdr:col>
                    <xdr:colOff>1638300</xdr:colOff>
                    <xdr:row>48</xdr:row>
                    <xdr:rowOff>304800</xdr:rowOff>
                  </to>
                </anchor>
              </controlPr>
            </control>
          </mc:Choice>
        </mc:AlternateContent>
        <mc:AlternateContent xmlns:mc="http://schemas.openxmlformats.org/markup-compatibility/2006">
          <mc:Choice Requires="x14">
            <control shapeId="168009" r:id="rId29" name="Drop Down 73">
              <controlPr locked="0" defaultSize="0" autoFill="0" autoPict="0">
                <anchor moveWithCells="1">
                  <from>
                    <xdr:col>6</xdr:col>
                    <xdr:colOff>400050</xdr:colOff>
                    <xdr:row>50</xdr:row>
                    <xdr:rowOff>76200</xdr:rowOff>
                  </from>
                  <to>
                    <xdr:col>6</xdr:col>
                    <xdr:colOff>1638300</xdr:colOff>
                    <xdr:row>50</xdr:row>
                    <xdr:rowOff>304800</xdr:rowOff>
                  </to>
                </anchor>
              </controlPr>
            </control>
          </mc:Choice>
        </mc:AlternateContent>
        <mc:AlternateContent xmlns:mc="http://schemas.openxmlformats.org/markup-compatibility/2006">
          <mc:Choice Requires="x14">
            <control shapeId="168010" r:id="rId30" name="Drop Down 74">
              <controlPr locked="0" defaultSize="0" autoFill="0" autoPict="0">
                <anchor moveWithCells="1">
                  <from>
                    <xdr:col>6</xdr:col>
                    <xdr:colOff>400050</xdr:colOff>
                    <xdr:row>51</xdr:row>
                    <xdr:rowOff>76200</xdr:rowOff>
                  </from>
                  <to>
                    <xdr:col>6</xdr:col>
                    <xdr:colOff>1638300</xdr:colOff>
                    <xdr:row>51</xdr:row>
                    <xdr:rowOff>304800</xdr:rowOff>
                  </to>
                </anchor>
              </controlPr>
            </control>
          </mc:Choice>
        </mc:AlternateContent>
        <mc:AlternateContent xmlns:mc="http://schemas.openxmlformats.org/markup-compatibility/2006">
          <mc:Choice Requires="x14">
            <control shapeId="168011" r:id="rId31" name="Drop Down 75">
              <controlPr locked="0" defaultSize="0" autoFill="0" autoPict="0">
                <anchor moveWithCells="1">
                  <from>
                    <xdr:col>6</xdr:col>
                    <xdr:colOff>400050</xdr:colOff>
                    <xdr:row>53</xdr:row>
                    <xdr:rowOff>76200</xdr:rowOff>
                  </from>
                  <to>
                    <xdr:col>6</xdr:col>
                    <xdr:colOff>1638300</xdr:colOff>
                    <xdr:row>53</xdr:row>
                    <xdr:rowOff>304800</xdr:rowOff>
                  </to>
                </anchor>
              </controlPr>
            </control>
          </mc:Choice>
        </mc:AlternateContent>
        <mc:AlternateContent xmlns:mc="http://schemas.openxmlformats.org/markup-compatibility/2006">
          <mc:Choice Requires="x14">
            <control shapeId="168012" r:id="rId32" name="Drop Down 76">
              <controlPr locked="0" defaultSize="0" autoFill="0" autoPict="0">
                <anchor moveWithCells="1">
                  <from>
                    <xdr:col>6</xdr:col>
                    <xdr:colOff>400050</xdr:colOff>
                    <xdr:row>56</xdr:row>
                    <xdr:rowOff>76200</xdr:rowOff>
                  </from>
                  <to>
                    <xdr:col>6</xdr:col>
                    <xdr:colOff>1638300</xdr:colOff>
                    <xdr:row>56</xdr:row>
                    <xdr:rowOff>304800</xdr:rowOff>
                  </to>
                </anchor>
              </controlPr>
            </control>
          </mc:Choice>
        </mc:AlternateContent>
        <mc:AlternateContent xmlns:mc="http://schemas.openxmlformats.org/markup-compatibility/2006">
          <mc:Choice Requires="x14">
            <control shapeId="168013" r:id="rId33" name="Drop Down 77">
              <controlPr locked="0" defaultSize="0" autoFill="0" autoPict="0">
                <anchor moveWithCells="1">
                  <from>
                    <xdr:col>6</xdr:col>
                    <xdr:colOff>400050</xdr:colOff>
                    <xdr:row>57</xdr:row>
                    <xdr:rowOff>76200</xdr:rowOff>
                  </from>
                  <to>
                    <xdr:col>6</xdr:col>
                    <xdr:colOff>1638300</xdr:colOff>
                    <xdr:row>57</xdr:row>
                    <xdr:rowOff>304800</xdr:rowOff>
                  </to>
                </anchor>
              </controlPr>
            </control>
          </mc:Choice>
        </mc:AlternateContent>
        <mc:AlternateContent xmlns:mc="http://schemas.openxmlformats.org/markup-compatibility/2006">
          <mc:Choice Requires="x14">
            <control shapeId="168014" r:id="rId34" name="Drop Down 78">
              <controlPr locked="0" defaultSize="0" autoFill="0" autoPict="0">
                <anchor moveWithCells="1">
                  <from>
                    <xdr:col>6</xdr:col>
                    <xdr:colOff>400050</xdr:colOff>
                    <xdr:row>59</xdr:row>
                    <xdr:rowOff>76200</xdr:rowOff>
                  </from>
                  <to>
                    <xdr:col>6</xdr:col>
                    <xdr:colOff>1638300</xdr:colOff>
                    <xdr:row>59</xdr:row>
                    <xdr:rowOff>304800</xdr:rowOff>
                  </to>
                </anchor>
              </controlPr>
            </control>
          </mc:Choice>
        </mc:AlternateContent>
        <mc:AlternateContent xmlns:mc="http://schemas.openxmlformats.org/markup-compatibility/2006">
          <mc:Choice Requires="x14">
            <control shapeId="168015" r:id="rId35" name="Drop Down 79">
              <controlPr locked="0" defaultSize="0" autoFill="0" autoPict="0">
                <anchor moveWithCells="1">
                  <from>
                    <xdr:col>6</xdr:col>
                    <xdr:colOff>400050</xdr:colOff>
                    <xdr:row>60</xdr:row>
                    <xdr:rowOff>76200</xdr:rowOff>
                  </from>
                  <to>
                    <xdr:col>6</xdr:col>
                    <xdr:colOff>1638300</xdr:colOff>
                    <xdr:row>60</xdr:row>
                    <xdr:rowOff>304800</xdr:rowOff>
                  </to>
                </anchor>
              </controlPr>
            </control>
          </mc:Choice>
        </mc:AlternateContent>
        <mc:AlternateContent xmlns:mc="http://schemas.openxmlformats.org/markup-compatibility/2006">
          <mc:Choice Requires="x14">
            <control shapeId="168016" r:id="rId36" name="Drop Down 80">
              <controlPr locked="0" defaultSize="0" autoFill="0" autoPict="0">
                <anchor moveWithCells="1">
                  <from>
                    <xdr:col>6</xdr:col>
                    <xdr:colOff>400050</xdr:colOff>
                    <xdr:row>61</xdr:row>
                    <xdr:rowOff>76200</xdr:rowOff>
                  </from>
                  <to>
                    <xdr:col>6</xdr:col>
                    <xdr:colOff>1638300</xdr:colOff>
                    <xdr:row>61</xdr:row>
                    <xdr:rowOff>304800</xdr:rowOff>
                  </to>
                </anchor>
              </controlPr>
            </control>
          </mc:Choice>
        </mc:AlternateContent>
        <mc:AlternateContent xmlns:mc="http://schemas.openxmlformats.org/markup-compatibility/2006">
          <mc:Choice Requires="x14">
            <control shapeId="168018" r:id="rId37" name="Drop Down 82">
              <controlPr locked="0" defaultSize="0" autoFill="0" autoPict="0">
                <anchor moveWithCells="1">
                  <from>
                    <xdr:col>6</xdr:col>
                    <xdr:colOff>400050</xdr:colOff>
                    <xdr:row>63</xdr:row>
                    <xdr:rowOff>76200</xdr:rowOff>
                  </from>
                  <to>
                    <xdr:col>6</xdr:col>
                    <xdr:colOff>1638300</xdr:colOff>
                    <xdr:row>63</xdr:row>
                    <xdr:rowOff>304800</xdr:rowOff>
                  </to>
                </anchor>
              </controlPr>
            </control>
          </mc:Choice>
        </mc:AlternateContent>
        <mc:AlternateContent xmlns:mc="http://schemas.openxmlformats.org/markup-compatibility/2006">
          <mc:Choice Requires="x14">
            <control shapeId="168020" r:id="rId38" name="Drop Down 84">
              <controlPr locked="0" defaultSize="0" autoFill="0" autoPict="0">
                <anchor moveWithCells="1">
                  <from>
                    <xdr:col>6</xdr:col>
                    <xdr:colOff>400050</xdr:colOff>
                    <xdr:row>65</xdr:row>
                    <xdr:rowOff>76200</xdr:rowOff>
                  </from>
                  <to>
                    <xdr:col>6</xdr:col>
                    <xdr:colOff>1638300</xdr:colOff>
                    <xdr:row>65</xdr:row>
                    <xdr:rowOff>304800</xdr:rowOff>
                  </to>
                </anchor>
              </controlPr>
            </control>
          </mc:Choice>
        </mc:AlternateContent>
        <mc:AlternateContent xmlns:mc="http://schemas.openxmlformats.org/markup-compatibility/2006">
          <mc:Choice Requires="x14">
            <control shapeId="168024" r:id="rId39" name="Drop Down 88">
              <controlPr locked="0" defaultSize="0" autoFill="0" autoPict="0">
                <anchor moveWithCells="1">
                  <from>
                    <xdr:col>6</xdr:col>
                    <xdr:colOff>400050</xdr:colOff>
                    <xdr:row>67</xdr:row>
                    <xdr:rowOff>76200</xdr:rowOff>
                  </from>
                  <to>
                    <xdr:col>6</xdr:col>
                    <xdr:colOff>1638300</xdr:colOff>
                    <xdr:row>67</xdr:row>
                    <xdr:rowOff>304800</xdr:rowOff>
                  </to>
                </anchor>
              </controlPr>
            </control>
          </mc:Choice>
        </mc:AlternateContent>
        <mc:AlternateContent xmlns:mc="http://schemas.openxmlformats.org/markup-compatibility/2006">
          <mc:Choice Requires="x14">
            <control shapeId="168025" r:id="rId40" name="Drop Down 89">
              <controlPr locked="0" defaultSize="0" autoFill="0" autoPict="0">
                <anchor moveWithCells="1">
                  <from>
                    <xdr:col>6</xdr:col>
                    <xdr:colOff>400050</xdr:colOff>
                    <xdr:row>68</xdr:row>
                    <xdr:rowOff>76200</xdr:rowOff>
                  </from>
                  <to>
                    <xdr:col>6</xdr:col>
                    <xdr:colOff>1638300</xdr:colOff>
                    <xdr:row>68</xdr:row>
                    <xdr:rowOff>304800</xdr:rowOff>
                  </to>
                </anchor>
              </controlPr>
            </control>
          </mc:Choice>
        </mc:AlternateContent>
        <mc:AlternateContent xmlns:mc="http://schemas.openxmlformats.org/markup-compatibility/2006">
          <mc:Choice Requires="x14">
            <control shapeId="168026" r:id="rId41" name="Drop Down 90">
              <controlPr locked="0" defaultSize="0" autoFill="0" autoPict="0">
                <anchor moveWithCells="1">
                  <from>
                    <xdr:col>6</xdr:col>
                    <xdr:colOff>400050</xdr:colOff>
                    <xdr:row>70</xdr:row>
                    <xdr:rowOff>76200</xdr:rowOff>
                  </from>
                  <to>
                    <xdr:col>6</xdr:col>
                    <xdr:colOff>1638300</xdr:colOff>
                    <xdr:row>70</xdr:row>
                    <xdr:rowOff>304800</xdr:rowOff>
                  </to>
                </anchor>
              </controlPr>
            </control>
          </mc:Choice>
        </mc:AlternateContent>
        <mc:AlternateContent xmlns:mc="http://schemas.openxmlformats.org/markup-compatibility/2006">
          <mc:Choice Requires="x14">
            <control shapeId="168027" r:id="rId42" name="Drop Down 91">
              <controlPr locked="0" defaultSize="0" autoFill="0" autoPict="0">
                <anchor moveWithCells="1">
                  <from>
                    <xdr:col>6</xdr:col>
                    <xdr:colOff>400050</xdr:colOff>
                    <xdr:row>72</xdr:row>
                    <xdr:rowOff>76200</xdr:rowOff>
                  </from>
                  <to>
                    <xdr:col>6</xdr:col>
                    <xdr:colOff>1638300</xdr:colOff>
                    <xdr:row>72</xdr:row>
                    <xdr:rowOff>304800</xdr:rowOff>
                  </to>
                </anchor>
              </controlPr>
            </control>
          </mc:Choice>
        </mc:AlternateContent>
        <mc:AlternateContent xmlns:mc="http://schemas.openxmlformats.org/markup-compatibility/2006">
          <mc:Choice Requires="x14">
            <control shapeId="168028" r:id="rId43" name="Drop Down 92">
              <controlPr locked="0" defaultSize="0" autoFill="0" autoPict="0">
                <anchor moveWithCells="1">
                  <from>
                    <xdr:col>6</xdr:col>
                    <xdr:colOff>400050</xdr:colOff>
                    <xdr:row>74</xdr:row>
                    <xdr:rowOff>76200</xdr:rowOff>
                  </from>
                  <to>
                    <xdr:col>6</xdr:col>
                    <xdr:colOff>1638300</xdr:colOff>
                    <xdr:row>74</xdr:row>
                    <xdr:rowOff>304800</xdr:rowOff>
                  </to>
                </anchor>
              </controlPr>
            </control>
          </mc:Choice>
        </mc:AlternateContent>
        <mc:AlternateContent xmlns:mc="http://schemas.openxmlformats.org/markup-compatibility/2006">
          <mc:Choice Requires="x14">
            <control shapeId="168029" r:id="rId44" name="Drop Down 93">
              <controlPr locked="0" defaultSize="0" autoFill="0" autoPict="0">
                <anchor moveWithCells="1">
                  <from>
                    <xdr:col>6</xdr:col>
                    <xdr:colOff>400050</xdr:colOff>
                    <xdr:row>76</xdr:row>
                    <xdr:rowOff>76200</xdr:rowOff>
                  </from>
                  <to>
                    <xdr:col>6</xdr:col>
                    <xdr:colOff>1638300</xdr:colOff>
                    <xdr:row>76</xdr:row>
                    <xdr:rowOff>304800</xdr:rowOff>
                  </to>
                </anchor>
              </controlPr>
            </control>
          </mc:Choice>
        </mc:AlternateContent>
        <mc:AlternateContent xmlns:mc="http://schemas.openxmlformats.org/markup-compatibility/2006">
          <mc:Choice Requires="x14">
            <control shapeId="168030" r:id="rId45" name="Drop Down 94">
              <controlPr locked="0" defaultSize="0" autoFill="0" autoPict="0">
                <anchor moveWithCells="1">
                  <from>
                    <xdr:col>6</xdr:col>
                    <xdr:colOff>400050</xdr:colOff>
                    <xdr:row>78</xdr:row>
                    <xdr:rowOff>76200</xdr:rowOff>
                  </from>
                  <to>
                    <xdr:col>6</xdr:col>
                    <xdr:colOff>1638300</xdr:colOff>
                    <xdr:row>78</xdr:row>
                    <xdr:rowOff>304800</xdr:rowOff>
                  </to>
                </anchor>
              </controlPr>
            </control>
          </mc:Choice>
        </mc:AlternateContent>
        <mc:AlternateContent xmlns:mc="http://schemas.openxmlformats.org/markup-compatibility/2006">
          <mc:Choice Requires="x14">
            <control shapeId="168031" r:id="rId46" name="Drop Down 95">
              <controlPr locked="0" defaultSize="0" autoFill="0" autoPict="0">
                <anchor moveWithCells="1">
                  <from>
                    <xdr:col>6</xdr:col>
                    <xdr:colOff>400050</xdr:colOff>
                    <xdr:row>79</xdr:row>
                    <xdr:rowOff>76200</xdr:rowOff>
                  </from>
                  <to>
                    <xdr:col>6</xdr:col>
                    <xdr:colOff>1638300</xdr:colOff>
                    <xdr:row>79</xdr:row>
                    <xdr:rowOff>304800</xdr:rowOff>
                  </to>
                </anchor>
              </controlPr>
            </control>
          </mc:Choice>
        </mc:AlternateContent>
        <mc:AlternateContent xmlns:mc="http://schemas.openxmlformats.org/markup-compatibility/2006">
          <mc:Choice Requires="x14">
            <control shapeId="168032" r:id="rId47" name="Drop Down 96">
              <controlPr locked="0" defaultSize="0" autoFill="0" autoPict="0">
                <anchor moveWithCells="1">
                  <from>
                    <xdr:col>6</xdr:col>
                    <xdr:colOff>400050</xdr:colOff>
                    <xdr:row>80</xdr:row>
                    <xdr:rowOff>76200</xdr:rowOff>
                  </from>
                  <to>
                    <xdr:col>6</xdr:col>
                    <xdr:colOff>1638300</xdr:colOff>
                    <xdr:row>80</xdr:row>
                    <xdr:rowOff>304800</xdr:rowOff>
                  </to>
                </anchor>
              </controlPr>
            </control>
          </mc:Choice>
        </mc:AlternateContent>
        <mc:AlternateContent xmlns:mc="http://schemas.openxmlformats.org/markup-compatibility/2006">
          <mc:Choice Requires="x14">
            <control shapeId="168033" r:id="rId48" name="Drop Down 97">
              <controlPr locked="0" defaultSize="0" autoFill="0" autoPict="0">
                <anchor moveWithCells="1">
                  <from>
                    <xdr:col>6</xdr:col>
                    <xdr:colOff>400050</xdr:colOff>
                    <xdr:row>82</xdr:row>
                    <xdr:rowOff>76200</xdr:rowOff>
                  </from>
                  <to>
                    <xdr:col>6</xdr:col>
                    <xdr:colOff>1638300</xdr:colOff>
                    <xdr:row>82</xdr:row>
                    <xdr:rowOff>304800</xdr:rowOff>
                  </to>
                </anchor>
              </controlPr>
            </control>
          </mc:Choice>
        </mc:AlternateContent>
        <mc:AlternateContent xmlns:mc="http://schemas.openxmlformats.org/markup-compatibility/2006">
          <mc:Choice Requires="x14">
            <control shapeId="168034" r:id="rId49" name="Drop Down 98">
              <controlPr locked="0" defaultSize="0" autoFill="0" autoPict="0">
                <anchor moveWithCells="1">
                  <from>
                    <xdr:col>6</xdr:col>
                    <xdr:colOff>400050</xdr:colOff>
                    <xdr:row>83</xdr:row>
                    <xdr:rowOff>76200</xdr:rowOff>
                  </from>
                  <to>
                    <xdr:col>6</xdr:col>
                    <xdr:colOff>1638300</xdr:colOff>
                    <xdr:row>83</xdr:row>
                    <xdr:rowOff>304800</xdr:rowOff>
                  </to>
                </anchor>
              </controlPr>
            </control>
          </mc:Choice>
        </mc:AlternateContent>
        <mc:AlternateContent xmlns:mc="http://schemas.openxmlformats.org/markup-compatibility/2006">
          <mc:Choice Requires="x14">
            <control shapeId="168035" r:id="rId50" name="Drop Down 99">
              <controlPr locked="0" defaultSize="0" autoFill="0" autoPict="0">
                <anchor moveWithCells="1">
                  <from>
                    <xdr:col>6</xdr:col>
                    <xdr:colOff>400050</xdr:colOff>
                    <xdr:row>85</xdr:row>
                    <xdr:rowOff>76200</xdr:rowOff>
                  </from>
                  <to>
                    <xdr:col>6</xdr:col>
                    <xdr:colOff>1638300</xdr:colOff>
                    <xdr:row>85</xdr:row>
                    <xdr:rowOff>304800</xdr:rowOff>
                  </to>
                </anchor>
              </controlPr>
            </control>
          </mc:Choice>
        </mc:AlternateContent>
        <mc:AlternateContent xmlns:mc="http://schemas.openxmlformats.org/markup-compatibility/2006">
          <mc:Choice Requires="x14">
            <control shapeId="168036" r:id="rId51" name="Drop Down 100">
              <controlPr locked="0" defaultSize="0" autoFill="0" autoPict="0">
                <anchor moveWithCells="1">
                  <from>
                    <xdr:col>6</xdr:col>
                    <xdr:colOff>400050</xdr:colOff>
                    <xdr:row>87</xdr:row>
                    <xdr:rowOff>76200</xdr:rowOff>
                  </from>
                  <to>
                    <xdr:col>6</xdr:col>
                    <xdr:colOff>1638300</xdr:colOff>
                    <xdr:row>87</xdr:row>
                    <xdr:rowOff>304800</xdr:rowOff>
                  </to>
                </anchor>
              </controlPr>
            </control>
          </mc:Choice>
        </mc:AlternateContent>
        <mc:AlternateContent xmlns:mc="http://schemas.openxmlformats.org/markup-compatibility/2006">
          <mc:Choice Requires="x14">
            <control shapeId="168037" r:id="rId52" name="Drop Down 101">
              <controlPr locked="0" defaultSize="0" autoFill="0" autoPict="0">
                <anchor moveWithCells="1">
                  <from>
                    <xdr:col>6</xdr:col>
                    <xdr:colOff>400050</xdr:colOff>
                    <xdr:row>89</xdr:row>
                    <xdr:rowOff>76200</xdr:rowOff>
                  </from>
                  <to>
                    <xdr:col>6</xdr:col>
                    <xdr:colOff>1638300</xdr:colOff>
                    <xdr:row>89</xdr:row>
                    <xdr:rowOff>304800</xdr:rowOff>
                  </to>
                </anchor>
              </controlPr>
            </control>
          </mc:Choice>
        </mc:AlternateContent>
        <mc:AlternateContent xmlns:mc="http://schemas.openxmlformats.org/markup-compatibility/2006">
          <mc:Choice Requires="x14">
            <control shapeId="168038" r:id="rId53" name="Drop Down 102">
              <controlPr locked="0" defaultSize="0" autoFill="0" autoPict="0">
                <anchor moveWithCells="1">
                  <from>
                    <xdr:col>6</xdr:col>
                    <xdr:colOff>400050</xdr:colOff>
                    <xdr:row>90</xdr:row>
                    <xdr:rowOff>76200</xdr:rowOff>
                  </from>
                  <to>
                    <xdr:col>6</xdr:col>
                    <xdr:colOff>1638300</xdr:colOff>
                    <xdr:row>90</xdr:row>
                    <xdr:rowOff>304800</xdr:rowOff>
                  </to>
                </anchor>
              </controlPr>
            </control>
          </mc:Choice>
        </mc:AlternateContent>
        <mc:AlternateContent xmlns:mc="http://schemas.openxmlformats.org/markup-compatibility/2006">
          <mc:Choice Requires="x14">
            <control shapeId="168039" r:id="rId54" name="Drop Down 103">
              <controlPr locked="0" defaultSize="0" autoFill="0" autoPict="0">
                <anchor moveWithCells="1">
                  <from>
                    <xdr:col>6</xdr:col>
                    <xdr:colOff>400050</xdr:colOff>
                    <xdr:row>91</xdr:row>
                    <xdr:rowOff>76200</xdr:rowOff>
                  </from>
                  <to>
                    <xdr:col>6</xdr:col>
                    <xdr:colOff>1638300</xdr:colOff>
                    <xdr:row>91</xdr:row>
                    <xdr:rowOff>304800</xdr:rowOff>
                  </to>
                </anchor>
              </controlPr>
            </control>
          </mc:Choice>
        </mc:AlternateContent>
        <mc:AlternateContent xmlns:mc="http://schemas.openxmlformats.org/markup-compatibility/2006">
          <mc:Choice Requires="x14">
            <control shapeId="168040" r:id="rId55" name="Drop Down 104">
              <controlPr locked="0" defaultSize="0" autoFill="0" autoPict="0">
                <anchor moveWithCells="1">
                  <from>
                    <xdr:col>6</xdr:col>
                    <xdr:colOff>400050</xdr:colOff>
                    <xdr:row>92</xdr:row>
                    <xdr:rowOff>76200</xdr:rowOff>
                  </from>
                  <to>
                    <xdr:col>6</xdr:col>
                    <xdr:colOff>1638300</xdr:colOff>
                    <xdr:row>92</xdr:row>
                    <xdr:rowOff>304800</xdr:rowOff>
                  </to>
                </anchor>
              </controlPr>
            </control>
          </mc:Choice>
        </mc:AlternateContent>
        <mc:AlternateContent xmlns:mc="http://schemas.openxmlformats.org/markup-compatibility/2006">
          <mc:Choice Requires="x14">
            <control shapeId="168041" r:id="rId56" name="Drop Down 105">
              <controlPr locked="0" defaultSize="0" autoFill="0" autoPict="0">
                <anchor moveWithCells="1">
                  <from>
                    <xdr:col>6</xdr:col>
                    <xdr:colOff>400050</xdr:colOff>
                    <xdr:row>93</xdr:row>
                    <xdr:rowOff>76200</xdr:rowOff>
                  </from>
                  <to>
                    <xdr:col>6</xdr:col>
                    <xdr:colOff>1638300</xdr:colOff>
                    <xdr:row>93</xdr:row>
                    <xdr:rowOff>304800</xdr:rowOff>
                  </to>
                </anchor>
              </controlPr>
            </control>
          </mc:Choice>
        </mc:AlternateContent>
        <mc:AlternateContent xmlns:mc="http://schemas.openxmlformats.org/markup-compatibility/2006">
          <mc:Choice Requires="x14">
            <control shapeId="168042" r:id="rId57" name="Drop Down 106">
              <controlPr locked="0" defaultSize="0" autoFill="0" autoPict="0">
                <anchor moveWithCells="1">
                  <from>
                    <xdr:col>6</xdr:col>
                    <xdr:colOff>400050</xdr:colOff>
                    <xdr:row>94</xdr:row>
                    <xdr:rowOff>76200</xdr:rowOff>
                  </from>
                  <to>
                    <xdr:col>6</xdr:col>
                    <xdr:colOff>1638300</xdr:colOff>
                    <xdr:row>94</xdr:row>
                    <xdr:rowOff>304800</xdr:rowOff>
                  </to>
                </anchor>
              </controlPr>
            </control>
          </mc:Choice>
        </mc:AlternateContent>
        <mc:AlternateContent xmlns:mc="http://schemas.openxmlformats.org/markup-compatibility/2006">
          <mc:Choice Requires="x14">
            <control shapeId="168043" r:id="rId58" name="Drop Down 107">
              <controlPr locked="0" defaultSize="0" autoFill="0" autoPict="0">
                <anchor moveWithCells="1">
                  <from>
                    <xdr:col>6</xdr:col>
                    <xdr:colOff>400050</xdr:colOff>
                    <xdr:row>97</xdr:row>
                    <xdr:rowOff>76200</xdr:rowOff>
                  </from>
                  <to>
                    <xdr:col>6</xdr:col>
                    <xdr:colOff>1638300</xdr:colOff>
                    <xdr:row>97</xdr:row>
                    <xdr:rowOff>304800</xdr:rowOff>
                  </to>
                </anchor>
              </controlPr>
            </control>
          </mc:Choice>
        </mc:AlternateContent>
        <mc:AlternateContent xmlns:mc="http://schemas.openxmlformats.org/markup-compatibility/2006">
          <mc:Choice Requires="x14">
            <control shapeId="168044" r:id="rId59" name="Drop Down 108">
              <controlPr locked="0" defaultSize="0" autoFill="0" autoPict="0">
                <anchor moveWithCells="1">
                  <from>
                    <xdr:col>6</xdr:col>
                    <xdr:colOff>400050</xdr:colOff>
                    <xdr:row>98</xdr:row>
                    <xdr:rowOff>76200</xdr:rowOff>
                  </from>
                  <to>
                    <xdr:col>6</xdr:col>
                    <xdr:colOff>1638300</xdr:colOff>
                    <xdr:row>98</xdr:row>
                    <xdr:rowOff>304800</xdr:rowOff>
                  </to>
                </anchor>
              </controlPr>
            </control>
          </mc:Choice>
        </mc:AlternateContent>
        <mc:AlternateContent xmlns:mc="http://schemas.openxmlformats.org/markup-compatibility/2006">
          <mc:Choice Requires="x14">
            <control shapeId="168045" r:id="rId60" name="Drop Down 109">
              <controlPr locked="0" defaultSize="0" autoFill="0" autoPict="0">
                <anchor moveWithCells="1">
                  <from>
                    <xdr:col>6</xdr:col>
                    <xdr:colOff>400050</xdr:colOff>
                    <xdr:row>100</xdr:row>
                    <xdr:rowOff>76200</xdr:rowOff>
                  </from>
                  <to>
                    <xdr:col>6</xdr:col>
                    <xdr:colOff>1638300</xdr:colOff>
                    <xdr:row>100</xdr:row>
                    <xdr:rowOff>304800</xdr:rowOff>
                  </to>
                </anchor>
              </controlPr>
            </control>
          </mc:Choice>
        </mc:AlternateContent>
        <mc:AlternateContent xmlns:mc="http://schemas.openxmlformats.org/markup-compatibility/2006">
          <mc:Choice Requires="x14">
            <control shapeId="168046" r:id="rId61" name="Drop Down 110">
              <controlPr locked="0" defaultSize="0" autoFill="0" autoPict="0">
                <anchor moveWithCells="1">
                  <from>
                    <xdr:col>6</xdr:col>
                    <xdr:colOff>400050</xdr:colOff>
                    <xdr:row>101</xdr:row>
                    <xdr:rowOff>76200</xdr:rowOff>
                  </from>
                  <to>
                    <xdr:col>6</xdr:col>
                    <xdr:colOff>1638300</xdr:colOff>
                    <xdr:row>101</xdr:row>
                    <xdr:rowOff>304800</xdr:rowOff>
                  </to>
                </anchor>
              </controlPr>
            </control>
          </mc:Choice>
        </mc:AlternateContent>
        <mc:AlternateContent xmlns:mc="http://schemas.openxmlformats.org/markup-compatibility/2006">
          <mc:Choice Requires="x14">
            <control shapeId="168047" r:id="rId62" name="Drop Down 111">
              <controlPr locked="0" defaultSize="0" autoFill="0" autoPict="0">
                <anchor moveWithCells="1">
                  <from>
                    <xdr:col>6</xdr:col>
                    <xdr:colOff>400050</xdr:colOff>
                    <xdr:row>102</xdr:row>
                    <xdr:rowOff>76200</xdr:rowOff>
                  </from>
                  <to>
                    <xdr:col>6</xdr:col>
                    <xdr:colOff>1638300</xdr:colOff>
                    <xdr:row>102</xdr:row>
                    <xdr:rowOff>304800</xdr:rowOff>
                  </to>
                </anchor>
              </controlPr>
            </control>
          </mc:Choice>
        </mc:AlternateContent>
        <mc:AlternateContent xmlns:mc="http://schemas.openxmlformats.org/markup-compatibility/2006">
          <mc:Choice Requires="x14">
            <control shapeId="167938" r:id="rId63" name="Drop Down 2">
              <controlPr locked="0" defaultSize="0" autoFill="0" autoPict="0">
                <anchor moveWithCells="1">
                  <from>
                    <xdr:col>6</xdr:col>
                    <xdr:colOff>400050</xdr:colOff>
                    <xdr:row>8</xdr:row>
                    <xdr:rowOff>76200</xdr:rowOff>
                  </from>
                  <to>
                    <xdr:col>6</xdr:col>
                    <xdr:colOff>1638300</xdr:colOff>
                    <xdr:row>8</xdr:row>
                    <xdr:rowOff>304800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tabColor rgb="FFFF0000"/>
    <pageSetUpPr autoPageBreaks="0" fitToPage="1"/>
  </sheetPr>
  <dimension ref="A2:AI36"/>
  <sheetViews>
    <sheetView showGridLines="0" showRowColHeaders="0" zoomScaleNormal="100" workbookViewId="0">
      <pane ySplit="7" topLeftCell="A8" activePane="bottomLeft" state="frozen"/>
      <selection pane="bottomLeft" activeCell="F2" sqref="F2:F5"/>
    </sheetView>
  </sheetViews>
  <sheetFormatPr defaultColWidth="9.140625" defaultRowHeight="15" x14ac:dyDescent="0.25"/>
  <cols>
    <col min="1" max="1" width="9.28515625" style="21" hidden="1" customWidth="1"/>
    <col min="2" max="3" width="8.85546875" style="21" hidden="1" customWidth="1"/>
    <col min="4" max="4" width="6.28515625" style="152" customWidth="1"/>
    <col min="5" max="5" width="15.5703125" style="21" customWidth="1"/>
    <col min="6" max="6" width="67.42578125" style="21" customWidth="1"/>
    <col min="7" max="7" width="29.7109375" style="152" customWidth="1"/>
    <col min="8" max="8" width="7.7109375" style="152" hidden="1" customWidth="1"/>
    <col min="9" max="9" width="9.7109375" style="152" hidden="1" customWidth="1"/>
    <col min="10" max="13" width="7.7109375" style="152" hidden="1" customWidth="1"/>
    <col min="14" max="15" width="13.140625" style="21" customWidth="1"/>
    <col min="16" max="16" width="28.42578125" style="21" customWidth="1"/>
    <col min="17" max="17" width="41.7109375" style="21" customWidth="1"/>
    <col min="18" max="33" width="9.140625" style="21" customWidth="1"/>
    <col min="34" max="34" width="9.140625" style="82" hidden="1" customWidth="1"/>
    <col min="35" max="35" width="9.140625" style="13" customWidth="1"/>
    <col min="36" max="39" width="9.140625" style="21" customWidth="1"/>
    <col min="40" max="16384" width="9.140625" style="21"/>
  </cols>
  <sheetData>
    <row r="2" spans="1:35" s="53" customFormat="1" ht="15" customHeight="1" x14ac:dyDescent="0.25">
      <c r="A2" s="50"/>
      <c r="B2" s="21"/>
      <c r="C2" s="21"/>
      <c r="D2" s="152"/>
      <c r="E2" s="21"/>
      <c r="F2" s="325" t="str">
        <f ca="1">"Maturity model for Stage "&amp;LEFT(B8,1)&amp;" - "&amp;VLOOKUP(A8-1,Contents_Text,7,FALSE)</f>
        <v>Maturity model for Stage C - Follow up</v>
      </c>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82"/>
      <c r="AI2" s="13"/>
    </row>
    <row r="3" spans="1:35" s="53" customFormat="1" ht="15" customHeight="1" x14ac:dyDescent="0.25">
      <c r="A3" s="21"/>
      <c r="B3" s="21"/>
      <c r="C3" s="21"/>
      <c r="D3" s="152"/>
      <c r="E3" s="21"/>
      <c r="F3" s="325"/>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82"/>
      <c r="AI3" s="13"/>
    </row>
    <row r="4" spans="1:35" s="53" customFormat="1" ht="15" customHeight="1" x14ac:dyDescent="0.25">
      <c r="A4" s="21"/>
      <c r="B4" s="21"/>
      <c r="C4" s="21"/>
      <c r="D4" s="152"/>
      <c r="E4" s="21"/>
      <c r="F4" s="325"/>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82"/>
      <c r="AI4" s="13"/>
    </row>
    <row r="5" spans="1:35" s="53" customFormat="1" ht="15" customHeight="1" x14ac:dyDescent="0.25">
      <c r="A5" s="21"/>
      <c r="B5" s="21"/>
      <c r="C5" s="21"/>
      <c r="D5" s="152"/>
      <c r="E5" s="21"/>
      <c r="F5" s="325"/>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82"/>
      <c r="AI5" s="13"/>
    </row>
    <row r="6" spans="1:35" ht="11.25" customHeight="1" x14ac:dyDescent="0.25"/>
    <row r="7" spans="1:35" ht="36" customHeight="1" thickBot="1" x14ac:dyDescent="0.35">
      <c r="F7" s="54"/>
      <c r="G7" s="198" t="s">
        <v>51</v>
      </c>
      <c r="H7" s="198"/>
      <c r="I7" s="198"/>
      <c r="J7" s="198"/>
      <c r="K7" s="198"/>
      <c r="L7" s="198"/>
      <c r="M7" s="198"/>
      <c r="N7" s="55" t="s">
        <v>8</v>
      </c>
      <c r="O7" s="56" t="s">
        <v>52</v>
      </c>
      <c r="P7" s="57" t="s">
        <v>53</v>
      </c>
      <c r="Q7" s="57" t="s">
        <v>0</v>
      </c>
      <c r="AH7" s="223" t="s">
        <v>214</v>
      </c>
    </row>
    <row r="8" spans="1:35" s="76" customFormat="1" ht="30" customHeight="1" x14ac:dyDescent="0.25">
      <c r="A8" s="73">
        <v>174</v>
      </c>
      <c r="B8" s="74" t="str">
        <f t="shared" ref="B8:B36" ca="1" si="0">VLOOKUP(A8,Contents_Text,2,FALSE)</f>
        <v>C.1</v>
      </c>
      <c r="C8" s="20">
        <f t="shared" ref="C8:C36" ca="1" si="1">VLOOKUP(A8,Contents_Text,15,FALSE)</f>
        <v>2</v>
      </c>
      <c r="D8" s="20"/>
      <c r="E8" s="159" t="str">
        <f t="shared" ref="E8:E36" ca="1" si="2">IF(C8=1,"Phase "&amp;B8,IF(C8=2,"Step "&amp;VLOOKUP(A8,Contents_Text,4,FALSE),B8))</f>
        <v>Step 1</v>
      </c>
      <c r="F8" s="160" t="str">
        <f t="shared" ref="F8:F36" ca="1" si="3">VLOOKUP(A8,Contents_Text,7,FALSE)</f>
        <v>Remediate weaknesses</v>
      </c>
      <c r="G8" s="160"/>
      <c r="H8" s="160"/>
      <c r="I8" s="160"/>
      <c r="J8" s="160"/>
      <c r="K8" s="160"/>
      <c r="L8" s="160"/>
      <c r="M8" s="160"/>
      <c r="N8" s="160" t="str">
        <f t="shared" ref="N8:N36" ca="1" si="4">IFERROR(IF(VLOOKUP(A8,Weightings_Assessments,25,FALSE)=0,"",VLOOKUP(A8,Weightings_Assessments,25,FALSE)),"")</f>
        <v/>
      </c>
      <c r="O8" s="160" t="str">
        <f t="shared" ref="O8:O36" ca="1" si="5">IFERROR(VLOOKUP(AH8,detail_maturity_score,3,FALSE)*VLOOKUP(A8,Weightings_Assessments,23,FALSE),"")</f>
        <v/>
      </c>
      <c r="P8" s="160"/>
      <c r="Q8" s="160"/>
      <c r="R8" s="160"/>
      <c r="S8" s="160"/>
      <c r="T8" s="160"/>
      <c r="U8" s="160"/>
      <c r="V8" s="160"/>
      <c r="W8" s="160"/>
      <c r="X8" s="160"/>
      <c r="Y8" s="160"/>
      <c r="Z8" s="160"/>
      <c r="AA8" s="160"/>
      <c r="AB8" s="160"/>
      <c r="AC8" s="160"/>
      <c r="AD8" s="160"/>
      <c r="AE8" s="160"/>
      <c r="AF8" s="160"/>
      <c r="AG8" s="160"/>
      <c r="AH8" s="79"/>
      <c r="AI8" s="13"/>
    </row>
    <row r="9" spans="1:35" s="76" customFormat="1" ht="30" customHeight="1" x14ac:dyDescent="0.25">
      <c r="A9" s="222">
        <v>175</v>
      </c>
      <c r="B9" s="74" t="str">
        <f t="shared" ca="1" si="0"/>
        <v>C.1.01</v>
      </c>
      <c r="C9" s="20">
        <f t="shared" ca="1" si="1"/>
        <v>5</v>
      </c>
      <c r="D9" s="20"/>
      <c r="E9" s="135" t="str">
        <f t="shared" ca="1" si="2"/>
        <v>C.1.01</v>
      </c>
      <c r="F9" s="157" t="str">
        <f t="shared" ca="1" si="3"/>
        <v>Do follow-up activities include remediating weaknesses identified in penetration testing?</v>
      </c>
      <c r="G9" s="134"/>
      <c r="H9" s="156"/>
      <c r="I9" s="158"/>
      <c r="J9" s="156"/>
      <c r="K9" s="156"/>
      <c r="L9" s="156"/>
      <c r="M9" s="156"/>
      <c r="N9" s="137" t="str">
        <f t="shared" ca="1" si="4"/>
        <v>x 2</v>
      </c>
      <c r="O9" s="137" t="str">
        <f t="shared" ca="1" si="5"/>
        <v/>
      </c>
      <c r="P9" s="138"/>
      <c r="Q9" s="138"/>
      <c r="R9" s="134"/>
      <c r="S9" s="134"/>
      <c r="T9" s="134"/>
      <c r="U9" s="134"/>
      <c r="V9" s="134"/>
      <c r="W9" s="134"/>
      <c r="X9" s="134"/>
      <c r="Y9" s="134"/>
      <c r="Z9" s="139"/>
      <c r="AA9" s="134"/>
      <c r="AB9" s="134"/>
      <c r="AC9" s="134"/>
      <c r="AD9" s="134"/>
      <c r="AE9" s="134"/>
      <c r="AF9" s="134"/>
      <c r="AG9" s="134"/>
      <c r="AH9" s="79">
        <v>1</v>
      </c>
      <c r="AI9" s="13"/>
    </row>
    <row r="10" spans="1:35" s="76" customFormat="1" ht="30" customHeight="1" x14ac:dyDescent="0.25">
      <c r="A10" s="222">
        <v>176</v>
      </c>
      <c r="B10" s="74" t="str">
        <f t="shared" ca="1" si="0"/>
        <v>C.1.02</v>
      </c>
      <c r="C10" s="20">
        <f t="shared" ca="1" si="1"/>
        <v>5</v>
      </c>
      <c r="D10" s="20"/>
      <c r="E10" s="135" t="str">
        <f t="shared" ca="1" si="2"/>
        <v>C.1.02</v>
      </c>
      <c r="F10" s="157" t="str">
        <f t="shared" ca="1" si="3"/>
        <v>Are weaknesses remediated in line with a comprehensive, approved remediation process?</v>
      </c>
      <c r="G10" s="134"/>
      <c r="H10" s="156"/>
      <c r="I10" s="158"/>
      <c r="J10" s="156"/>
      <c r="K10" s="156"/>
      <c r="L10" s="156"/>
      <c r="M10" s="156"/>
      <c r="N10" s="137" t="str">
        <f t="shared" ca="1" si="4"/>
        <v>x 4</v>
      </c>
      <c r="O10" s="137" t="str">
        <f t="shared" ca="1" si="5"/>
        <v/>
      </c>
      <c r="P10" s="138"/>
      <c r="Q10" s="138"/>
      <c r="R10" s="134"/>
      <c r="S10" s="134"/>
      <c r="T10" s="134"/>
      <c r="U10" s="134"/>
      <c r="V10" s="134"/>
      <c r="W10" s="134"/>
      <c r="X10" s="134"/>
      <c r="Y10" s="134"/>
      <c r="Z10" s="139"/>
      <c r="AA10" s="134"/>
      <c r="AB10" s="134"/>
      <c r="AC10" s="134"/>
      <c r="AD10" s="134"/>
      <c r="AE10" s="134"/>
      <c r="AF10" s="134"/>
      <c r="AG10" s="134"/>
      <c r="AH10" s="79">
        <v>1</v>
      </c>
      <c r="AI10" s="13"/>
    </row>
    <row r="11" spans="1:35" s="76" customFormat="1" ht="105" x14ac:dyDescent="0.25">
      <c r="A11" s="222">
        <v>177</v>
      </c>
      <c r="B11" s="74" t="str">
        <f t="shared" ca="1" si="0"/>
        <v/>
      </c>
      <c r="C11" s="20">
        <f t="shared" ca="1" si="1"/>
        <v>3</v>
      </c>
      <c r="D11" s="20"/>
      <c r="E11" s="135" t="str">
        <f t="shared" ca="1" si="2"/>
        <v/>
      </c>
      <c r="F11" s="155" t="str">
        <f t="shared" ca="1" si="3"/>
        <v>An effective remediation process should include addressing all issues; applying immediate or short terms solutions (e.g. patching systems, closing ports and preventing traffic from particular web sites or IP addresses), replicating results of penetration tests, determining which weaknesses to address first (e.g. based on risk ratings for critical assets), and reporting weaknesses to relevant third party organisations.</v>
      </c>
      <c r="G11" s="155"/>
      <c r="H11" s="155"/>
      <c r="I11" s="155"/>
      <c r="J11" s="155"/>
      <c r="K11" s="155"/>
      <c r="L11" s="155"/>
      <c r="M11" s="155"/>
      <c r="N11" s="137" t="str">
        <f t="shared" ca="1" si="4"/>
        <v/>
      </c>
      <c r="O11" s="134" t="str">
        <f t="shared" ca="1" si="5"/>
        <v/>
      </c>
      <c r="P11" s="138"/>
      <c r="Q11" s="138"/>
      <c r="R11" s="134"/>
      <c r="S11" s="134"/>
      <c r="T11" s="134"/>
      <c r="U11" s="134"/>
      <c r="V11" s="134"/>
      <c r="W11" s="134"/>
      <c r="X11" s="134"/>
      <c r="Y11" s="134"/>
      <c r="Z11" s="139"/>
      <c r="AA11" s="134"/>
      <c r="AB11" s="134"/>
      <c r="AC11" s="134"/>
      <c r="AD11" s="134"/>
      <c r="AE11" s="134"/>
      <c r="AF11" s="134"/>
      <c r="AG11" s="134"/>
      <c r="AH11" s="220">
        <v>1</v>
      </c>
      <c r="AI11" s="13"/>
    </row>
    <row r="12" spans="1:35" s="76" customFormat="1" ht="30" customHeight="1" x14ac:dyDescent="0.25">
      <c r="A12" s="73">
        <v>178</v>
      </c>
      <c r="B12" s="74" t="str">
        <f t="shared" ca="1" si="0"/>
        <v>C.2</v>
      </c>
      <c r="C12" s="20">
        <f t="shared" ca="1" si="1"/>
        <v>2</v>
      </c>
      <c r="D12" s="20"/>
      <c r="E12" s="159" t="str">
        <f t="shared" ca="1" si="2"/>
        <v>Step 2</v>
      </c>
      <c r="F12" s="160" t="str">
        <f t="shared" ca="1" si="3"/>
        <v>Address root causes of weaknesses</v>
      </c>
      <c r="G12" s="160"/>
      <c r="H12" s="160"/>
      <c r="I12" s="160"/>
      <c r="J12" s="160"/>
      <c r="K12" s="160"/>
      <c r="L12" s="160"/>
      <c r="M12" s="160"/>
      <c r="N12" s="160" t="str">
        <f t="shared" ca="1" si="4"/>
        <v/>
      </c>
      <c r="O12" s="160" t="str">
        <f t="shared" ca="1" si="5"/>
        <v/>
      </c>
      <c r="P12" s="160"/>
      <c r="Q12" s="160"/>
      <c r="R12" s="160"/>
      <c r="S12" s="160"/>
      <c r="T12" s="160"/>
      <c r="U12" s="160"/>
      <c r="V12" s="160"/>
      <c r="W12" s="160"/>
      <c r="X12" s="160"/>
      <c r="Y12" s="160"/>
      <c r="Z12" s="160"/>
      <c r="AA12" s="160"/>
      <c r="AB12" s="160"/>
      <c r="AC12" s="160"/>
      <c r="AD12" s="160"/>
      <c r="AE12" s="160"/>
      <c r="AF12" s="160"/>
      <c r="AG12" s="160"/>
      <c r="AH12" s="79">
        <v>1</v>
      </c>
      <c r="AI12" s="13"/>
    </row>
    <row r="13" spans="1:35" s="76" customFormat="1" ht="30" customHeight="1" x14ac:dyDescent="0.25">
      <c r="A13" s="222">
        <v>179</v>
      </c>
      <c r="B13" s="74" t="str">
        <f t="shared" ca="1" si="0"/>
        <v>C.2.01</v>
      </c>
      <c r="C13" s="20">
        <f t="shared" ca="1" si="1"/>
        <v>5</v>
      </c>
      <c r="D13" s="20"/>
      <c r="E13" s="135" t="str">
        <f t="shared" ca="1" si="2"/>
        <v>C.2.01</v>
      </c>
      <c r="F13" s="157" t="str">
        <f t="shared" ca="1" si="3"/>
        <v>Do follow-up activities include analysing and addressing the root causes of weaknesses identified in penetration testing?</v>
      </c>
      <c r="G13" s="134"/>
      <c r="H13" s="156"/>
      <c r="I13" s="158"/>
      <c r="J13" s="156"/>
      <c r="K13" s="156"/>
      <c r="L13" s="156"/>
      <c r="M13" s="156"/>
      <c r="N13" s="137" t="str">
        <f t="shared" ca="1" si="4"/>
        <v>x 2</v>
      </c>
      <c r="O13" s="137" t="str">
        <f t="shared" ca="1" si="5"/>
        <v/>
      </c>
      <c r="P13" s="138"/>
      <c r="Q13" s="138"/>
      <c r="R13" s="134"/>
      <c r="S13" s="134"/>
      <c r="T13" s="134"/>
      <c r="U13" s="134"/>
      <c r="V13" s="134"/>
      <c r="W13" s="134"/>
      <c r="X13" s="134"/>
      <c r="Y13" s="134"/>
      <c r="Z13" s="139"/>
      <c r="AA13" s="134"/>
      <c r="AB13" s="134"/>
      <c r="AC13" s="134"/>
      <c r="AD13" s="134"/>
      <c r="AE13" s="134"/>
      <c r="AF13" s="134"/>
      <c r="AG13" s="134"/>
      <c r="AH13" s="79">
        <v>1</v>
      </c>
      <c r="AI13" s="13"/>
    </row>
    <row r="14" spans="1:35" s="142" customFormat="1" ht="30" customHeight="1" x14ac:dyDescent="0.25">
      <c r="A14" s="154">
        <v>180</v>
      </c>
      <c r="B14" s="133" t="str">
        <f t="shared" ca="1" si="0"/>
        <v>C.2.02</v>
      </c>
      <c r="C14" s="134">
        <f t="shared" ca="1" si="1"/>
        <v>5</v>
      </c>
      <c r="D14" s="92"/>
      <c r="E14" s="135" t="str">
        <f t="shared" ca="1" si="2"/>
        <v>C.2.02</v>
      </c>
      <c r="F14" s="157" t="str">
        <f t="shared" ca="1" si="3"/>
        <v>Does root cause analysis include the full range of required actions?</v>
      </c>
      <c r="G14" s="134"/>
      <c r="H14" s="156"/>
      <c r="I14" s="158"/>
      <c r="J14" s="156"/>
      <c r="K14" s="156"/>
      <c r="L14" s="156"/>
      <c r="M14" s="156"/>
      <c r="N14" s="137" t="str">
        <f t="shared" ca="1" si="4"/>
        <v>x 4</v>
      </c>
      <c r="O14" s="137" t="str">
        <f t="shared" ca="1" si="5"/>
        <v/>
      </c>
      <c r="P14" s="138"/>
      <c r="Q14" s="138"/>
      <c r="R14" s="134"/>
      <c r="S14" s="134"/>
      <c r="T14" s="134"/>
      <c r="U14" s="134"/>
      <c r="V14" s="134"/>
      <c r="W14" s="134"/>
      <c r="X14" s="134"/>
      <c r="Y14" s="134"/>
      <c r="Z14" s="139"/>
      <c r="AA14" s="134"/>
      <c r="AB14" s="134"/>
      <c r="AC14" s="134"/>
      <c r="AD14" s="134"/>
      <c r="AE14" s="134"/>
      <c r="AF14" s="134"/>
      <c r="AG14" s="134"/>
      <c r="AH14" s="141">
        <v>1</v>
      </c>
      <c r="AI14" s="13"/>
    </row>
    <row r="15" spans="1:35" s="142" customFormat="1" ht="60" x14ac:dyDescent="0.25">
      <c r="A15" s="154">
        <v>181</v>
      </c>
      <c r="B15" s="133" t="str">
        <f t="shared" ca="1" si="0"/>
        <v/>
      </c>
      <c r="C15" s="134">
        <f t="shared" ca="1" si="1"/>
        <v>3</v>
      </c>
      <c r="D15" s="92"/>
      <c r="E15" s="135" t="str">
        <f t="shared" ca="1" si="2"/>
        <v/>
      </c>
      <c r="F15" s="155" t="str">
        <f t="shared" ca="1" si="3"/>
        <v>Root cause analysis should include: identifying the real root causes of exposures; evaluating potential business impact; identifying more endemic or fundamental root causes; qualified, experienced security professionals to help define corrective action strategy and plans.</v>
      </c>
      <c r="G15" s="155"/>
      <c r="H15" s="155"/>
      <c r="I15" s="155"/>
      <c r="J15" s="155"/>
      <c r="K15" s="155"/>
      <c r="L15" s="155"/>
      <c r="M15" s="155"/>
      <c r="N15" s="137" t="str">
        <f t="shared" ca="1" si="4"/>
        <v/>
      </c>
      <c r="O15" s="134" t="str">
        <f t="shared" ca="1" si="5"/>
        <v/>
      </c>
      <c r="P15" s="138"/>
      <c r="Q15" s="138"/>
      <c r="R15" s="134"/>
      <c r="S15" s="134"/>
      <c r="T15" s="134"/>
      <c r="U15" s="134"/>
      <c r="V15" s="134"/>
      <c r="W15" s="134"/>
      <c r="X15" s="134"/>
      <c r="Y15" s="134"/>
      <c r="Z15" s="139"/>
      <c r="AA15" s="134"/>
      <c r="AB15" s="134"/>
      <c r="AC15" s="134"/>
      <c r="AD15" s="134"/>
      <c r="AE15" s="134"/>
      <c r="AF15" s="134"/>
      <c r="AG15" s="134"/>
      <c r="AH15" s="137">
        <v>1</v>
      </c>
      <c r="AI15" s="13"/>
    </row>
    <row r="16" spans="1:35" s="142" customFormat="1" ht="30" customHeight="1" x14ac:dyDescent="0.25">
      <c r="A16" s="151">
        <v>182</v>
      </c>
      <c r="B16" s="133" t="str">
        <f t="shared" ca="1" si="0"/>
        <v>C.3</v>
      </c>
      <c r="C16" s="134">
        <f t="shared" ca="1" si="1"/>
        <v>2</v>
      </c>
      <c r="D16" s="92"/>
      <c r="E16" s="159" t="str">
        <f t="shared" ca="1" si="2"/>
        <v>Step 3</v>
      </c>
      <c r="F16" s="160" t="str">
        <f t="shared" ca="1" si="3"/>
        <v>Initiate improvement programme</v>
      </c>
      <c r="G16" s="160"/>
      <c r="H16" s="160"/>
      <c r="I16" s="160"/>
      <c r="J16" s="160"/>
      <c r="K16" s="160"/>
      <c r="L16" s="160"/>
      <c r="M16" s="160"/>
      <c r="N16" s="160" t="str">
        <f t="shared" ca="1" si="4"/>
        <v/>
      </c>
      <c r="O16" s="160" t="str">
        <f t="shared" ca="1" si="5"/>
        <v/>
      </c>
      <c r="P16" s="160"/>
      <c r="Q16" s="160"/>
      <c r="R16" s="160"/>
      <c r="S16" s="160"/>
      <c r="T16" s="160"/>
      <c r="U16" s="160"/>
      <c r="V16" s="160"/>
      <c r="W16" s="160"/>
      <c r="X16" s="160"/>
      <c r="Y16" s="160"/>
      <c r="Z16" s="160"/>
      <c r="AA16" s="160"/>
      <c r="AB16" s="160"/>
      <c r="AC16" s="160"/>
      <c r="AD16" s="160"/>
      <c r="AE16" s="160"/>
      <c r="AF16" s="160"/>
      <c r="AG16" s="160"/>
      <c r="AH16" s="141">
        <v>1</v>
      </c>
      <c r="AI16" s="13"/>
    </row>
    <row r="17" spans="1:35" s="142" customFormat="1" ht="30" customHeight="1" x14ac:dyDescent="0.25">
      <c r="A17" s="154">
        <v>183</v>
      </c>
      <c r="B17" s="133" t="str">
        <f t="shared" ca="1" si="0"/>
        <v>C.3.01</v>
      </c>
      <c r="C17" s="134">
        <f t="shared" ca="1" si="1"/>
        <v>5</v>
      </c>
      <c r="D17" s="92"/>
      <c r="E17" s="135" t="str">
        <f t="shared" ca="1" si="2"/>
        <v>C.3.01</v>
      </c>
      <c r="F17" s="157" t="str">
        <f t="shared" ca="1" si="3"/>
        <v>On completion of penetration tests, is an improvement programme initiated?</v>
      </c>
      <c r="G17" s="134"/>
      <c r="H17" s="156"/>
      <c r="I17" s="158"/>
      <c r="J17" s="156"/>
      <c r="K17" s="156"/>
      <c r="L17" s="156"/>
      <c r="M17" s="156"/>
      <c r="N17" s="137" t="str">
        <f t="shared" ca="1" si="4"/>
        <v>x 1</v>
      </c>
      <c r="O17" s="137" t="str">
        <f t="shared" ca="1" si="5"/>
        <v/>
      </c>
      <c r="P17" s="138"/>
      <c r="Q17" s="138"/>
      <c r="R17" s="134"/>
      <c r="S17" s="134"/>
      <c r="T17" s="134"/>
      <c r="U17" s="134"/>
      <c r="V17" s="134"/>
      <c r="W17" s="134"/>
      <c r="X17" s="134"/>
      <c r="Y17" s="134"/>
      <c r="Z17" s="139"/>
      <c r="AA17" s="134"/>
      <c r="AB17" s="134"/>
      <c r="AC17" s="134"/>
      <c r="AD17" s="134"/>
      <c r="AE17" s="134"/>
      <c r="AF17" s="134"/>
      <c r="AG17" s="134"/>
      <c r="AH17" s="141">
        <v>1</v>
      </c>
      <c r="AI17" s="13"/>
    </row>
    <row r="18" spans="1:35" s="142" customFormat="1" ht="30" customHeight="1" x14ac:dyDescent="0.25">
      <c r="A18" s="154">
        <v>184</v>
      </c>
      <c r="B18" s="133" t="str">
        <f t="shared" ca="1" si="0"/>
        <v>C.3.02</v>
      </c>
      <c r="C18" s="134">
        <f t="shared" ca="1" si="1"/>
        <v>5</v>
      </c>
      <c r="D18" s="92"/>
      <c r="E18" s="135" t="str">
        <f t="shared" ca="1" si="2"/>
        <v>C.3.02</v>
      </c>
      <c r="F18" s="157" t="str">
        <f t="shared" ca="1" si="3"/>
        <v>Is the improvement programme carried out in a structured / systematic manner?</v>
      </c>
      <c r="G18" s="134"/>
      <c r="H18" s="156"/>
      <c r="I18" s="158"/>
      <c r="J18" s="156"/>
      <c r="K18" s="156"/>
      <c r="L18" s="156"/>
      <c r="M18" s="156"/>
      <c r="N18" s="137" t="str">
        <f t="shared" ca="1" si="4"/>
        <v>x 3</v>
      </c>
      <c r="O18" s="137" t="str">
        <f t="shared" ca="1" si="5"/>
        <v/>
      </c>
      <c r="P18" s="138"/>
      <c r="Q18" s="138"/>
      <c r="R18" s="134"/>
      <c r="S18" s="134"/>
      <c r="T18" s="134"/>
      <c r="U18" s="134"/>
      <c r="V18" s="134"/>
      <c r="W18" s="134"/>
      <c r="X18" s="134"/>
      <c r="Y18" s="134"/>
      <c r="Z18" s="139"/>
      <c r="AA18" s="134"/>
      <c r="AB18" s="134"/>
      <c r="AC18" s="134"/>
      <c r="AD18" s="134"/>
      <c r="AE18" s="134"/>
      <c r="AF18" s="134"/>
      <c r="AG18" s="134"/>
      <c r="AH18" s="141">
        <v>1</v>
      </c>
      <c r="AI18" s="13"/>
    </row>
    <row r="19" spans="1:35" s="142" customFormat="1" ht="30" customHeight="1" x14ac:dyDescent="0.25">
      <c r="A19" s="154">
        <v>185</v>
      </c>
      <c r="B19" s="133" t="str">
        <f t="shared" ca="1" si="0"/>
        <v>C.3.03</v>
      </c>
      <c r="C19" s="134">
        <f t="shared" ca="1" si="1"/>
        <v>5</v>
      </c>
      <c r="D19" s="92"/>
      <c r="E19" s="135" t="str">
        <f t="shared" ca="1" si="2"/>
        <v>C.3.03</v>
      </c>
      <c r="F19" s="157" t="str">
        <f t="shared" ca="1" si="3"/>
        <v>Does your improvement programme include all key elements?</v>
      </c>
      <c r="G19" s="134"/>
      <c r="H19" s="156"/>
      <c r="I19" s="158"/>
      <c r="J19" s="156"/>
      <c r="K19" s="156"/>
      <c r="L19" s="156"/>
      <c r="M19" s="156"/>
      <c r="N19" s="137" t="str">
        <f t="shared" ca="1" si="4"/>
        <v>x 5</v>
      </c>
      <c r="O19" s="137" t="str">
        <f t="shared" ca="1" si="5"/>
        <v/>
      </c>
      <c r="P19" s="138"/>
      <c r="Q19" s="138"/>
      <c r="R19" s="134"/>
      <c r="S19" s="134"/>
      <c r="T19" s="134"/>
      <c r="U19" s="134"/>
      <c r="V19" s="134"/>
      <c r="W19" s="134"/>
      <c r="X19" s="134"/>
      <c r="Y19" s="134"/>
      <c r="Z19" s="139"/>
      <c r="AA19" s="134"/>
      <c r="AB19" s="134"/>
      <c r="AC19" s="134"/>
      <c r="AD19" s="134"/>
      <c r="AE19" s="134"/>
      <c r="AF19" s="134"/>
      <c r="AG19" s="134"/>
      <c r="AH19" s="141">
        <v>1</v>
      </c>
      <c r="AI19" s="13"/>
    </row>
    <row r="20" spans="1:35" s="142" customFormat="1" ht="60" x14ac:dyDescent="0.25">
      <c r="A20" s="154">
        <v>186</v>
      </c>
      <c r="B20" s="133" t="str">
        <f t="shared" ca="1" si="0"/>
        <v/>
      </c>
      <c r="C20" s="134">
        <f t="shared" ca="1" si="1"/>
        <v>3</v>
      </c>
      <c r="D20" s="92"/>
      <c r="E20" s="135" t="str">
        <f t="shared" ca="1" si="2"/>
        <v/>
      </c>
      <c r="F20" s="155" t="str">
        <f t="shared" ca="1" si="3"/>
        <v>The improvement programme should address root causes of weakness; evaluate penetration testing effectiveness; identify lessons learned; apply good practice enterprise-wide; create and monitor action plans; and agree approaches for future testing.</v>
      </c>
      <c r="G20" s="155"/>
      <c r="H20" s="155"/>
      <c r="I20" s="155"/>
      <c r="J20" s="155"/>
      <c r="K20" s="155"/>
      <c r="L20" s="155"/>
      <c r="M20" s="155"/>
      <c r="N20" s="137" t="str">
        <f t="shared" ca="1" si="4"/>
        <v/>
      </c>
      <c r="O20" s="134" t="str">
        <f t="shared" ca="1" si="5"/>
        <v/>
      </c>
      <c r="P20" s="138"/>
      <c r="Q20" s="138"/>
      <c r="R20" s="134"/>
      <c r="S20" s="134"/>
      <c r="T20" s="134"/>
      <c r="U20" s="134"/>
      <c r="V20" s="134"/>
      <c r="W20" s="134"/>
      <c r="X20" s="134"/>
      <c r="Y20" s="134"/>
      <c r="Z20" s="139"/>
      <c r="AA20" s="134"/>
      <c r="AB20" s="134"/>
      <c r="AC20" s="134"/>
      <c r="AD20" s="134"/>
      <c r="AE20" s="134"/>
      <c r="AF20" s="134"/>
      <c r="AG20" s="134"/>
      <c r="AH20" s="137">
        <v>1</v>
      </c>
      <c r="AI20" s="13"/>
    </row>
    <row r="21" spans="1:35" s="142" customFormat="1" ht="30" customHeight="1" x14ac:dyDescent="0.25">
      <c r="A21" s="151">
        <v>187</v>
      </c>
      <c r="B21" s="133" t="str">
        <f t="shared" ca="1" si="0"/>
        <v>C.4</v>
      </c>
      <c r="C21" s="134">
        <f t="shared" ca="1" si="1"/>
        <v>2</v>
      </c>
      <c r="D21" s="92"/>
      <c r="E21" s="159" t="str">
        <f t="shared" ca="1" si="2"/>
        <v>Step 4</v>
      </c>
      <c r="F21" s="160" t="str">
        <f t="shared" ca="1" si="3"/>
        <v>Evaluate penetration testing effectiveness</v>
      </c>
      <c r="G21" s="160"/>
      <c r="H21" s="160"/>
      <c r="I21" s="160"/>
      <c r="J21" s="160"/>
      <c r="K21" s="160"/>
      <c r="L21" s="160"/>
      <c r="M21" s="160"/>
      <c r="N21" s="160" t="str">
        <f t="shared" ca="1" si="4"/>
        <v/>
      </c>
      <c r="O21" s="160" t="str">
        <f t="shared" ca="1" si="5"/>
        <v/>
      </c>
      <c r="P21" s="160"/>
      <c r="Q21" s="160"/>
      <c r="R21" s="160"/>
      <c r="S21" s="160"/>
      <c r="T21" s="160"/>
      <c r="U21" s="160"/>
      <c r="V21" s="160"/>
      <c r="W21" s="160"/>
      <c r="X21" s="160"/>
      <c r="Y21" s="160"/>
      <c r="Z21" s="160"/>
      <c r="AA21" s="160"/>
      <c r="AB21" s="160"/>
      <c r="AC21" s="160"/>
      <c r="AD21" s="160"/>
      <c r="AE21" s="160"/>
      <c r="AF21" s="160"/>
      <c r="AG21" s="160"/>
      <c r="AH21" s="141">
        <v>1</v>
      </c>
      <c r="AI21" s="13"/>
    </row>
    <row r="22" spans="1:35" s="142" customFormat="1" ht="30" customHeight="1" x14ac:dyDescent="0.25">
      <c r="A22" s="154">
        <v>188</v>
      </c>
      <c r="B22" s="133" t="str">
        <f t="shared" ca="1" si="0"/>
        <v>C.4.01</v>
      </c>
      <c r="C22" s="134">
        <f t="shared" ca="1" si="1"/>
        <v>5</v>
      </c>
      <c r="D22" s="92"/>
      <c r="E22" s="135" t="str">
        <f t="shared" ca="1" si="2"/>
        <v>C.4.01</v>
      </c>
      <c r="F22" s="157" t="str">
        <f t="shared" ca="1" si="3"/>
        <v>Is the effectiveness of your penetration testing evaluated?</v>
      </c>
      <c r="G22" s="134"/>
      <c r="H22" s="156"/>
      <c r="I22" s="158"/>
      <c r="J22" s="156"/>
      <c r="K22" s="156"/>
      <c r="L22" s="156"/>
      <c r="M22" s="156"/>
      <c r="N22" s="137" t="str">
        <f t="shared" ca="1" si="4"/>
        <v>x 1</v>
      </c>
      <c r="O22" s="137" t="str">
        <f t="shared" ca="1" si="5"/>
        <v/>
      </c>
      <c r="P22" s="138"/>
      <c r="Q22" s="138"/>
      <c r="R22" s="134"/>
      <c r="S22" s="134"/>
      <c r="T22" s="134"/>
      <c r="U22" s="134"/>
      <c r="V22" s="134"/>
      <c r="W22" s="134"/>
      <c r="X22" s="134"/>
      <c r="Y22" s="134"/>
      <c r="Z22" s="139"/>
      <c r="AA22" s="134"/>
      <c r="AB22" s="134"/>
      <c r="AC22" s="134"/>
      <c r="AD22" s="134"/>
      <c r="AE22" s="134"/>
      <c r="AF22" s="134"/>
      <c r="AG22" s="134"/>
      <c r="AH22" s="141">
        <v>1</v>
      </c>
      <c r="AI22" s="13"/>
    </row>
    <row r="23" spans="1:35" s="142" customFormat="1" ht="30" customHeight="1" x14ac:dyDescent="0.25">
      <c r="A23" s="154">
        <v>189</v>
      </c>
      <c r="B23" s="133" t="str">
        <f t="shared" ca="1" si="0"/>
        <v>C.4.02</v>
      </c>
      <c r="C23" s="134">
        <f t="shared" ca="1" si="1"/>
        <v>5</v>
      </c>
      <c r="D23" s="92"/>
      <c r="E23" s="135" t="str">
        <f t="shared" ca="1" si="2"/>
        <v>C.4.02</v>
      </c>
      <c r="F23" s="157" t="str">
        <f t="shared" ca="1" si="3"/>
        <v>Does evaluation of test effectiveness cover the full range of required actions?</v>
      </c>
      <c r="G23" s="134"/>
      <c r="H23" s="156"/>
      <c r="I23" s="158"/>
      <c r="J23" s="156"/>
      <c r="K23" s="156"/>
      <c r="L23" s="156"/>
      <c r="M23" s="156"/>
      <c r="N23" s="137" t="str">
        <f t="shared" ca="1" si="4"/>
        <v>x 5</v>
      </c>
      <c r="O23" s="137" t="str">
        <f t="shared" ca="1" si="5"/>
        <v/>
      </c>
      <c r="P23" s="138"/>
      <c r="Q23" s="138"/>
      <c r="R23" s="134"/>
      <c r="S23" s="134"/>
      <c r="T23" s="134"/>
      <c r="U23" s="134"/>
      <c r="V23" s="134"/>
      <c r="W23" s="134"/>
      <c r="X23" s="134"/>
      <c r="Y23" s="134"/>
      <c r="Z23" s="139"/>
      <c r="AA23" s="134"/>
      <c r="AB23" s="134"/>
      <c r="AC23" s="134"/>
      <c r="AD23" s="134"/>
      <c r="AE23" s="134"/>
      <c r="AF23" s="134"/>
      <c r="AG23" s="134"/>
      <c r="AH23" s="141">
        <v>1</v>
      </c>
      <c r="AI23" s="13"/>
    </row>
    <row r="24" spans="1:35" s="142" customFormat="1" ht="75" x14ac:dyDescent="0.25">
      <c r="A24" s="154">
        <v>190</v>
      </c>
      <c r="B24" s="133" t="str">
        <f t="shared" ca="1" si="0"/>
        <v/>
      </c>
      <c r="C24" s="134">
        <f t="shared" ca="1" si="1"/>
        <v>3</v>
      </c>
      <c r="D24" s="92"/>
      <c r="E24" s="135" t="str">
        <f t="shared" ca="1" si="2"/>
        <v/>
      </c>
      <c r="F24" s="155" t="str">
        <f t="shared" ca="1" si="3"/>
        <v>Evaluation of the effectiveness of penetration testing should include: determining if objectives were met; assessing if sufficient weaknesses were identified; reviewing exploitations undertaken; comparing test results to external benchmarks; and determining if value for money was obtained from your service provider.</v>
      </c>
      <c r="G24" s="155"/>
      <c r="H24" s="155"/>
      <c r="I24" s="155"/>
      <c r="J24" s="155"/>
      <c r="K24" s="155"/>
      <c r="L24" s="155"/>
      <c r="M24" s="155"/>
      <c r="N24" s="137" t="str">
        <f t="shared" ca="1" si="4"/>
        <v/>
      </c>
      <c r="O24" s="134" t="str">
        <f t="shared" ca="1" si="5"/>
        <v/>
      </c>
      <c r="P24" s="138"/>
      <c r="Q24" s="138"/>
      <c r="R24" s="134"/>
      <c r="S24" s="134"/>
      <c r="T24" s="134"/>
      <c r="U24" s="134"/>
      <c r="V24" s="134"/>
      <c r="W24" s="134"/>
      <c r="X24" s="134"/>
      <c r="Y24" s="134"/>
      <c r="Z24" s="139"/>
      <c r="AA24" s="134"/>
      <c r="AB24" s="134"/>
      <c r="AC24" s="134"/>
      <c r="AD24" s="134"/>
      <c r="AE24" s="134"/>
      <c r="AF24" s="134"/>
      <c r="AG24" s="134"/>
      <c r="AH24" s="137">
        <v>1</v>
      </c>
      <c r="AI24" s="13"/>
    </row>
    <row r="25" spans="1:35" s="142" customFormat="1" ht="30" customHeight="1" x14ac:dyDescent="0.25">
      <c r="A25" s="151">
        <v>191</v>
      </c>
      <c r="B25" s="133" t="str">
        <f t="shared" ca="1" si="0"/>
        <v>C.5</v>
      </c>
      <c r="C25" s="134">
        <f t="shared" ca="1" si="1"/>
        <v>2</v>
      </c>
      <c r="D25" s="92"/>
      <c r="E25" s="159" t="str">
        <f t="shared" ca="1" si="2"/>
        <v>Step 5</v>
      </c>
      <c r="F25" s="160" t="str">
        <f t="shared" ca="1" si="3"/>
        <v>Build on lessons learned</v>
      </c>
      <c r="G25" s="160"/>
      <c r="H25" s="160"/>
      <c r="I25" s="160"/>
      <c r="J25" s="160"/>
      <c r="K25" s="160"/>
      <c r="L25" s="160"/>
      <c r="M25" s="160"/>
      <c r="N25" s="160" t="str">
        <f t="shared" ca="1" si="4"/>
        <v/>
      </c>
      <c r="O25" s="160" t="str">
        <f t="shared" ca="1" si="5"/>
        <v/>
      </c>
      <c r="P25" s="160"/>
      <c r="Q25" s="160"/>
      <c r="R25" s="160"/>
      <c r="S25" s="160"/>
      <c r="T25" s="160"/>
      <c r="U25" s="160"/>
      <c r="V25" s="160"/>
      <c r="W25" s="160"/>
      <c r="X25" s="160"/>
      <c r="Y25" s="160"/>
      <c r="Z25" s="160"/>
      <c r="AA25" s="160"/>
      <c r="AB25" s="160"/>
      <c r="AC25" s="160"/>
      <c r="AD25" s="160"/>
      <c r="AE25" s="160"/>
      <c r="AF25" s="160"/>
      <c r="AG25" s="160"/>
      <c r="AH25" s="141">
        <v>1</v>
      </c>
      <c r="AI25" s="13"/>
    </row>
    <row r="26" spans="1:35" s="142" customFormat="1" ht="30" customHeight="1" x14ac:dyDescent="0.25">
      <c r="A26" s="154">
        <v>192</v>
      </c>
      <c r="B26" s="133" t="str">
        <f t="shared" ca="1" si="0"/>
        <v>C.5.01</v>
      </c>
      <c r="C26" s="134">
        <f t="shared" ca="1" si="1"/>
        <v>5</v>
      </c>
      <c r="D26" s="92"/>
      <c r="E26" s="135" t="str">
        <f t="shared" ca="1" si="2"/>
        <v>C.5.01</v>
      </c>
      <c r="F26" s="157" t="str">
        <f t="shared" ca="1" si="3"/>
        <v>Does your penetration testing approach include identifying lessons learned, disseminating them to relevant stakeholders and acting on them?</v>
      </c>
      <c r="G26" s="134"/>
      <c r="H26" s="156"/>
      <c r="I26" s="158"/>
      <c r="J26" s="156"/>
      <c r="K26" s="156"/>
      <c r="L26" s="156"/>
      <c r="M26" s="156"/>
      <c r="N26" s="137" t="str">
        <f t="shared" ca="1" si="4"/>
        <v>x 1</v>
      </c>
      <c r="O26" s="137" t="str">
        <f t="shared" ca="1" si="5"/>
        <v/>
      </c>
      <c r="P26" s="138"/>
      <c r="Q26" s="138"/>
      <c r="R26" s="134"/>
      <c r="S26" s="134"/>
      <c r="T26" s="134"/>
      <c r="U26" s="134"/>
      <c r="V26" s="134"/>
      <c r="W26" s="134"/>
      <c r="X26" s="134"/>
      <c r="Y26" s="134"/>
      <c r="Z26" s="139"/>
      <c r="AA26" s="134"/>
      <c r="AB26" s="134"/>
      <c r="AC26" s="134"/>
      <c r="AD26" s="134"/>
      <c r="AE26" s="134"/>
      <c r="AF26" s="134"/>
      <c r="AG26" s="134"/>
      <c r="AH26" s="141">
        <v>1</v>
      </c>
      <c r="AI26" s="13"/>
    </row>
    <row r="27" spans="1:35" s="142" customFormat="1" ht="30" customHeight="1" x14ac:dyDescent="0.25">
      <c r="A27" s="154">
        <v>193</v>
      </c>
      <c r="B27" s="133" t="str">
        <f t="shared" ca="1" si="0"/>
        <v>C.5.02</v>
      </c>
      <c r="C27" s="134">
        <f t="shared" ca="1" si="1"/>
        <v>5</v>
      </c>
      <c r="D27" s="92"/>
      <c r="E27" s="135" t="str">
        <f t="shared" ca="1" si="2"/>
        <v>C.5.02</v>
      </c>
      <c r="F27" s="157" t="str">
        <f t="shared" ca="1" si="3"/>
        <v>Are lessons learned used to help in planning future tests, and provide feedback to service providers to help them improve processes?</v>
      </c>
      <c r="G27" s="134"/>
      <c r="H27" s="156"/>
      <c r="I27" s="158"/>
      <c r="J27" s="156"/>
      <c r="K27" s="156"/>
      <c r="L27" s="156"/>
      <c r="M27" s="156"/>
      <c r="N27" s="137" t="str">
        <f t="shared" ca="1" si="4"/>
        <v>x 5</v>
      </c>
      <c r="O27" s="137" t="str">
        <f t="shared" ca="1" si="5"/>
        <v/>
      </c>
      <c r="P27" s="138"/>
      <c r="Q27" s="138"/>
      <c r="R27" s="134"/>
      <c r="S27" s="134"/>
      <c r="T27" s="134"/>
      <c r="U27" s="134"/>
      <c r="V27" s="134"/>
      <c r="W27" s="134"/>
      <c r="X27" s="134"/>
      <c r="Y27" s="134"/>
      <c r="Z27" s="139"/>
      <c r="AA27" s="134"/>
      <c r="AB27" s="134"/>
      <c r="AC27" s="134"/>
      <c r="AD27" s="134"/>
      <c r="AE27" s="134"/>
      <c r="AF27" s="134"/>
      <c r="AG27" s="134"/>
      <c r="AH27" s="141">
        <v>1</v>
      </c>
      <c r="AI27" s="13"/>
    </row>
    <row r="28" spans="1:35" s="142" customFormat="1" ht="45" x14ac:dyDescent="0.25">
      <c r="A28" s="154">
        <v>194</v>
      </c>
      <c r="B28" s="133" t="str">
        <f t="shared" ca="1" si="0"/>
        <v>C.5.03</v>
      </c>
      <c r="C28" s="134">
        <f t="shared" ca="1" si="1"/>
        <v>5</v>
      </c>
      <c r="D28" s="92"/>
      <c r="E28" s="135" t="str">
        <f t="shared" ca="1" si="2"/>
        <v>C.5.03</v>
      </c>
      <c r="F28" s="157" t="str">
        <f t="shared" ca="1" si="3"/>
        <v>When addressing the weaknesses identified in an environment, are good practices identified (including fixes) and then applied to a wide range of other environments?</v>
      </c>
      <c r="G28" s="134"/>
      <c r="H28" s="156"/>
      <c r="I28" s="158"/>
      <c r="J28" s="156"/>
      <c r="K28" s="156"/>
      <c r="L28" s="156"/>
      <c r="M28" s="156"/>
      <c r="N28" s="137" t="str">
        <f t="shared" ca="1" si="4"/>
        <v>x 1</v>
      </c>
      <c r="O28" s="137" t="str">
        <f t="shared" ca="1" si="5"/>
        <v/>
      </c>
      <c r="P28" s="138"/>
      <c r="Q28" s="138"/>
      <c r="R28" s="134"/>
      <c r="S28" s="134"/>
      <c r="T28" s="134"/>
      <c r="U28" s="134"/>
      <c r="V28" s="134"/>
      <c r="W28" s="134"/>
      <c r="X28" s="134"/>
      <c r="Y28" s="134"/>
      <c r="Z28" s="139"/>
      <c r="AA28" s="134"/>
      <c r="AB28" s="134"/>
      <c r="AC28" s="134"/>
      <c r="AD28" s="134"/>
      <c r="AE28" s="134"/>
      <c r="AF28" s="134"/>
      <c r="AG28" s="134"/>
      <c r="AH28" s="141">
        <v>1</v>
      </c>
      <c r="AI28" s="13"/>
    </row>
    <row r="29" spans="1:35" s="142" customFormat="1" ht="60" x14ac:dyDescent="0.25">
      <c r="A29" s="154">
        <v>195</v>
      </c>
      <c r="B29" s="133" t="str">
        <f t="shared" ca="1" si="0"/>
        <v>C.5.04</v>
      </c>
      <c r="C29" s="134">
        <f t="shared" ca="1" si="1"/>
        <v>5</v>
      </c>
      <c r="D29" s="92"/>
      <c r="E29" s="135" t="str">
        <f t="shared" ca="1" si="2"/>
        <v>C.5.04</v>
      </c>
      <c r="F29" s="157" t="str">
        <f t="shared" ca="1" si="3"/>
        <v>Are good practices rolled out by:  performing trend analysis across multiple systems; applying lessons learnt during a penetration test of one application to similar applications; and fixing root causes endemically?</v>
      </c>
      <c r="G29" s="134"/>
      <c r="H29" s="156"/>
      <c r="I29" s="158"/>
      <c r="J29" s="156"/>
      <c r="K29" s="156"/>
      <c r="L29" s="156"/>
      <c r="M29" s="156"/>
      <c r="N29" s="137" t="str">
        <f t="shared" ca="1" si="4"/>
        <v>x 5</v>
      </c>
      <c r="O29" s="137" t="str">
        <f t="shared" ca="1" si="5"/>
        <v/>
      </c>
      <c r="P29" s="138"/>
      <c r="Q29" s="138"/>
      <c r="R29" s="134"/>
      <c r="S29" s="134"/>
      <c r="T29" s="134"/>
      <c r="U29" s="134"/>
      <c r="V29" s="134"/>
      <c r="W29" s="134"/>
      <c r="X29" s="134"/>
      <c r="Y29" s="134"/>
      <c r="Z29" s="139"/>
      <c r="AA29" s="134"/>
      <c r="AB29" s="134"/>
      <c r="AC29" s="134"/>
      <c r="AD29" s="134"/>
      <c r="AE29" s="134"/>
      <c r="AF29" s="134"/>
      <c r="AG29" s="134"/>
      <c r="AH29" s="141">
        <v>1</v>
      </c>
      <c r="AI29" s="13"/>
    </row>
    <row r="30" spans="1:35" s="142" customFormat="1" ht="30" customHeight="1" x14ac:dyDescent="0.25">
      <c r="A30" s="151">
        <v>196</v>
      </c>
      <c r="B30" s="133" t="str">
        <f t="shared" ca="1" si="0"/>
        <v>C.6</v>
      </c>
      <c r="C30" s="134">
        <f t="shared" ca="1" si="1"/>
        <v>2</v>
      </c>
      <c r="D30" s="92"/>
      <c r="E30" s="159" t="str">
        <f t="shared" ca="1" si="2"/>
        <v>Step 6</v>
      </c>
      <c r="F30" s="160" t="str">
        <f t="shared" ca="1" si="3"/>
        <v>Create and monitor action plans</v>
      </c>
      <c r="G30" s="160"/>
      <c r="H30" s="160"/>
      <c r="I30" s="160"/>
      <c r="J30" s="160"/>
      <c r="K30" s="160"/>
      <c r="L30" s="160"/>
      <c r="M30" s="160"/>
      <c r="N30" s="160" t="str">
        <f t="shared" ca="1" si="4"/>
        <v/>
      </c>
      <c r="O30" s="160" t="str">
        <f t="shared" ca="1" si="5"/>
        <v/>
      </c>
      <c r="P30" s="160"/>
      <c r="Q30" s="160"/>
      <c r="R30" s="160"/>
      <c r="S30" s="160"/>
      <c r="T30" s="160"/>
      <c r="U30" s="160"/>
      <c r="V30" s="160"/>
      <c r="W30" s="160"/>
      <c r="X30" s="160"/>
      <c r="Y30" s="160"/>
      <c r="Z30" s="160"/>
      <c r="AA30" s="160"/>
      <c r="AB30" s="160"/>
      <c r="AC30" s="160"/>
      <c r="AD30" s="160"/>
      <c r="AE30" s="160"/>
      <c r="AF30" s="160"/>
      <c r="AG30" s="160"/>
      <c r="AH30" s="141">
        <v>1</v>
      </c>
      <c r="AI30" s="13"/>
    </row>
    <row r="31" spans="1:35" s="142" customFormat="1" ht="30" customHeight="1" x14ac:dyDescent="0.25">
      <c r="A31" s="154">
        <v>197</v>
      </c>
      <c r="B31" s="133" t="str">
        <f t="shared" ca="1" si="0"/>
        <v>C.6.01</v>
      </c>
      <c r="C31" s="134">
        <f t="shared" ca="1" si="1"/>
        <v>5</v>
      </c>
      <c r="D31" s="92"/>
      <c r="E31" s="135" t="str">
        <f t="shared" ca="1" si="2"/>
        <v>C.6.01</v>
      </c>
      <c r="F31" s="157" t="str">
        <f t="shared" ca="1" si="3"/>
        <v>Are action plans created to help act upon follow-up activities undertaken?</v>
      </c>
      <c r="G31" s="134"/>
      <c r="H31" s="156"/>
      <c r="I31" s="158"/>
      <c r="J31" s="156"/>
      <c r="K31" s="156"/>
      <c r="L31" s="156"/>
      <c r="M31" s="156"/>
      <c r="N31" s="137" t="str">
        <f t="shared" ca="1" si="4"/>
        <v>x 1</v>
      </c>
      <c r="O31" s="137" t="str">
        <f t="shared" ca="1" si="5"/>
        <v/>
      </c>
      <c r="P31" s="138"/>
      <c r="Q31" s="138"/>
      <c r="R31" s="134"/>
      <c r="S31" s="134"/>
      <c r="T31" s="134"/>
      <c r="U31" s="134"/>
      <c r="V31" s="134"/>
      <c r="W31" s="134"/>
      <c r="X31" s="134"/>
      <c r="Y31" s="134"/>
      <c r="Z31" s="139"/>
      <c r="AA31" s="134"/>
      <c r="AB31" s="134"/>
      <c r="AC31" s="134"/>
      <c r="AD31" s="134"/>
      <c r="AE31" s="134"/>
      <c r="AF31" s="134"/>
      <c r="AG31" s="134"/>
      <c r="AH31" s="141">
        <v>1</v>
      </c>
      <c r="AI31" s="13"/>
    </row>
    <row r="32" spans="1:35" s="142" customFormat="1" ht="45" x14ac:dyDescent="0.25">
      <c r="A32" s="154">
        <v>198</v>
      </c>
      <c r="B32" s="133" t="str">
        <f t="shared" ca="1" si="0"/>
        <v>C.6.02</v>
      </c>
      <c r="C32" s="134">
        <f t="shared" ca="1" si="1"/>
        <v>5</v>
      </c>
      <c r="D32" s="92"/>
      <c r="E32" s="135" t="str">
        <f t="shared" ca="1" si="2"/>
        <v>C.6.02</v>
      </c>
      <c r="F32" s="157" t="str">
        <f t="shared" ca="1" si="3"/>
        <v>Are action plans formally documented, formulated by competent technical experts, reviewed by business management and signed-off by senior management?</v>
      </c>
      <c r="G32" s="134"/>
      <c r="H32" s="156"/>
      <c r="I32" s="158"/>
      <c r="J32" s="156"/>
      <c r="K32" s="156"/>
      <c r="L32" s="156"/>
      <c r="M32" s="156"/>
      <c r="N32" s="137" t="str">
        <f t="shared" ca="1" si="4"/>
        <v>x 3</v>
      </c>
      <c r="O32" s="137" t="str">
        <f t="shared" ca="1" si="5"/>
        <v/>
      </c>
      <c r="P32" s="138"/>
      <c r="Q32" s="138"/>
      <c r="R32" s="134"/>
      <c r="S32" s="134"/>
      <c r="T32" s="134"/>
      <c r="U32" s="134"/>
      <c r="V32" s="134"/>
      <c r="W32" s="134"/>
      <c r="X32" s="134"/>
      <c r="Y32" s="134"/>
      <c r="Z32" s="139"/>
      <c r="AA32" s="134"/>
      <c r="AB32" s="134"/>
      <c r="AC32" s="134"/>
      <c r="AD32" s="134"/>
      <c r="AE32" s="134"/>
      <c r="AF32" s="134"/>
      <c r="AG32" s="134"/>
      <c r="AH32" s="141">
        <v>1</v>
      </c>
      <c r="AI32" s="13"/>
    </row>
    <row r="33" spans="1:35" s="142" customFormat="1" ht="45" x14ac:dyDescent="0.25">
      <c r="A33" s="154">
        <v>199</v>
      </c>
      <c r="B33" s="133" t="str">
        <f t="shared" ca="1" si="0"/>
        <v>C.6.03</v>
      </c>
      <c r="C33" s="134">
        <f t="shared" ca="1" si="1"/>
        <v>5</v>
      </c>
      <c r="D33" s="92"/>
      <c r="E33" s="135" t="str">
        <f t="shared" ca="1" si="2"/>
        <v>C.6.03</v>
      </c>
      <c r="F33" s="157" t="str">
        <f t="shared" ca="1" si="3"/>
        <v>Do action plans outline all the relevant actions to be taken to prevent vulnerabilities identified through testing from recurring and help improve the overall information security programme</v>
      </c>
      <c r="G33" s="134"/>
      <c r="H33" s="156"/>
      <c r="I33" s="158"/>
      <c r="J33" s="156"/>
      <c r="K33" s="156"/>
      <c r="L33" s="156"/>
      <c r="M33" s="156"/>
      <c r="N33" s="137" t="str">
        <f t="shared" ca="1" si="4"/>
        <v>x 3</v>
      </c>
      <c r="O33" s="137" t="str">
        <f t="shared" ca="1" si="5"/>
        <v/>
      </c>
      <c r="P33" s="138"/>
      <c r="Q33" s="138"/>
      <c r="R33" s="134"/>
      <c r="S33" s="134"/>
      <c r="T33" s="134"/>
      <c r="U33" s="134"/>
      <c r="V33" s="134"/>
      <c r="W33" s="134"/>
      <c r="X33" s="134"/>
      <c r="Y33" s="134"/>
      <c r="Z33" s="139"/>
      <c r="AA33" s="134"/>
      <c r="AB33" s="134"/>
      <c r="AC33" s="134"/>
      <c r="AD33" s="134"/>
      <c r="AE33" s="134"/>
      <c r="AF33" s="134"/>
      <c r="AG33" s="134"/>
      <c r="AH33" s="141">
        <v>1</v>
      </c>
      <c r="AI33" s="13"/>
    </row>
    <row r="34" spans="1:35" s="142" customFormat="1" ht="45" x14ac:dyDescent="0.25">
      <c r="A34" s="154">
        <v>200</v>
      </c>
      <c r="B34" s="133" t="str">
        <f t="shared" ca="1" si="0"/>
        <v>C.6.04</v>
      </c>
      <c r="C34" s="134">
        <f t="shared" ca="1" si="1"/>
        <v>5</v>
      </c>
      <c r="D34" s="92"/>
      <c r="E34" s="135" t="str">
        <f t="shared" ca="1" si="2"/>
        <v>C.6.04</v>
      </c>
      <c r="F34" s="157" t="str">
        <f t="shared" ca="1" si="3"/>
        <v>Do action plans include a brief description of each action, including their priority and category; individuals responsible and accountable for each action; and target dates for completion</v>
      </c>
      <c r="G34" s="134"/>
      <c r="H34" s="156"/>
      <c r="I34" s="158"/>
      <c r="J34" s="156"/>
      <c r="K34" s="156"/>
      <c r="L34" s="156"/>
      <c r="M34" s="156"/>
      <c r="N34" s="137" t="str">
        <f t="shared" ca="1" si="4"/>
        <v>x 3</v>
      </c>
      <c r="O34" s="137" t="str">
        <f t="shared" ca="1" si="5"/>
        <v/>
      </c>
      <c r="P34" s="138"/>
      <c r="Q34" s="138"/>
      <c r="R34" s="134"/>
      <c r="S34" s="134"/>
      <c r="T34" s="134"/>
      <c r="U34" s="134"/>
      <c r="V34" s="134"/>
      <c r="W34" s="134"/>
      <c r="X34" s="134"/>
      <c r="Y34" s="134"/>
      <c r="Z34" s="139"/>
      <c r="AA34" s="134"/>
      <c r="AB34" s="134"/>
      <c r="AC34" s="134"/>
      <c r="AD34" s="134"/>
      <c r="AE34" s="134"/>
      <c r="AF34" s="134"/>
      <c r="AG34" s="134"/>
      <c r="AH34" s="141">
        <v>1</v>
      </c>
      <c r="AI34" s="13"/>
    </row>
    <row r="35" spans="1:35" s="142" customFormat="1" ht="30" customHeight="1" x14ac:dyDescent="0.25">
      <c r="A35" s="154">
        <v>201</v>
      </c>
      <c r="B35" s="133" t="str">
        <f t="shared" ca="1" si="0"/>
        <v>C.6.05</v>
      </c>
      <c r="C35" s="134">
        <f t="shared" ca="1" si="1"/>
        <v>5</v>
      </c>
      <c r="D35" s="92"/>
      <c r="E35" s="135" t="str">
        <f t="shared" ca="1" si="2"/>
        <v>C.6.05</v>
      </c>
      <c r="F35" s="157" t="str">
        <f t="shared" ca="1" si="3"/>
        <v>Are action plans implemented effectively and on a timely basis?</v>
      </c>
      <c r="G35" s="134"/>
      <c r="H35" s="156"/>
      <c r="I35" s="158"/>
      <c r="J35" s="156"/>
      <c r="K35" s="156"/>
      <c r="L35" s="156"/>
      <c r="M35" s="156"/>
      <c r="N35" s="137" t="str">
        <f t="shared" ca="1" si="4"/>
        <v>x 4</v>
      </c>
      <c r="O35" s="137" t="str">
        <f t="shared" ca="1" si="5"/>
        <v/>
      </c>
      <c r="P35" s="138"/>
      <c r="Q35" s="138"/>
      <c r="R35" s="134"/>
      <c r="S35" s="134"/>
      <c r="T35" s="134"/>
      <c r="U35" s="134"/>
      <c r="V35" s="134"/>
      <c r="W35" s="134"/>
      <c r="X35" s="134"/>
      <c r="Y35" s="134"/>
      <c r="Z35" s="139"/>
      <c r="AA35" s="134"/>
      <c r="AB35" s="134"/>
      <c r="AC35" s="134"/>
      <c r="AD35" s="134"/>
      <c r="AE35" s="134"/>
      <c r="AF35" s="134"/>
      <c r="AG35" s="134"/>
      <c r="AH35" s="141">
        <v>1</v>
      </c>
      <c r="AI35" s="13"/>
    </row>
    <row r="36" spans="1:35" s="142" customFormat="1" ht="45" x14ac:dyDescent="0.25">
      <c r="A36" s="154">
        <v>202</v>
      </c>
      <c r="B36" s="133" t="str">
        <f t="shared" ca="1" si="0"/>
        <v>C.6.06</v>
      </c>
      <c r="C36" s="134">
        <f t="shared" ca="1" si="1"/>
        <v>5</v>
      </c>
      <c r="D36" s="92"/>
      <c r="E36" s="135" t="str">
        <f t="shared" ca="1" si="2"/>
        <v>C.6.06</v>
      </c>
      <c r="F36" s="157" t="str">
        <f t="shared" ca="1" si="3"/>
        <v>Are action plans monitored on a regular basis to: ensure progress is being made; highlight any delays or difficulties being experienced; and reassess the level of risk?</v>
      </c>
      <c r="G36" s="134"/>
      <c r="H36" s="156"/>
      <c r="I36" s="158"/>
      <c r="J36" s="156"/>
      <c r="K36" s="156"/>
      <c r="L36" s="156"/>
      <c r="M36" s="156"/>
      <c r="N36" s="137" t="str">
        <f t="shared" ca="1" si="4"/>
        <v>x 5</v>
      </c>
      <c r="O36" s="137" t="str">
        <f t="shared" ca="1" si="5"/>
        <v/>
      </c>
      <c r="P36" s="138"/>
      <c r="Q36" s="138"/>
      <c r="R36" s="134"/>
      <c r="S36" s="134"/>
      <c r="T36" s="134"/>
      <c r="U36" s="134"/>
      <c r="V36" s="134"/>
      <c r="W36" s="134"/>
      <c r="X36" s="134"/>
      <c r="Y36" s="134"/>
      <c r="Z36" s="139"/>
      <c r="AA36" s="134"/>
      <c r="AB36" s="134"/>
      <c r="AC36" s="134"/>
      <c r="AD36" s="134"/>
      <c r="AE36" s="134"/>
      <c r="AF36" s="134"/>
      <c r="AG36" s="134"/>
      <c r="AH36" s="141">
        <v>1</v>
      </c>
      <c r="AI36" s="13"/>
    </row>
  </sheetData>
  <sheetProtection algorithmName="SHA-512" hashValue="59jUZTKZ5WpOTQQwKJcI3h0+HISojir18arLz7cdba6uMmf2qhTHn2fome/5NRCmWhTyXb49cgRu1wCYh7EjxQ==" saltValue="YeVGgPfo7LlEqKqvKdw54g==" spinCount="100000" sheet="1" objects="1" scenarios="1"/>
  <sortState xmlns:xlrd2="http://schemas.microsoft.com/office/spreadsheetml/2017/richdata2" ref="A8:AI36">
    <sortCondition ref="A8:A36"/>
  </sortState>
  <dataConsolidate/>
  <mergeCells count="1">
    <mergeCell ref="F2:F5"/>
  </mergeCells>
  <dataValidations count="1">
    <dataValidation type="custom" allowBlank="1" sqref="H29:M36" xr:uid="{00000000-0002-0000-0B00-000000000000}">
      <formula1>"""X"""</formula1>
    </dataValidation>
  </dataValidations>
  <pageMargins left="0.7" right="0.7" top="0.75" bottom="0.75" header="0.3" footer="0.3"/>
  <pageSetup paperSize="9" scale="38" fitToHeight="0"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69007" r:id="rId4" name="Drop Down 47">
              <controlPr locked="0" defaultSize="0" autoFill="0" autoPict="0">
                <anchor moveWithCells="1">
                  <from>
                    <xdr:col>6</xdr:col>
                    <xdr:colOff>400050</xdr:colOff>
                    <xdr:row>9</xdr:row>
                    <xdr:rowOff>76200</xdr:rowOff>
                  </from>
                  <to>
                    <xdr:col>6</xdr:col>
                    <xdr:colOff>1638300</xdr:colOff>
                    <xdr:row>9</xdr:row>
                    <xdr:rowOff>304800</xdr:rowOff>
                  </to>
                </anchor>
              </controlPr>
            </control>
          </mc:Choice>
        </mc:AlternateContent>
        <mc:AlternateContent xmlns:mc="http://schemas.openxmlformats.org/markup-compatibility/2006">
          <mc:Choice Requires="x14">
            <control shapeId="169008" r:id="rId5" name="Drop Down 48">
              <controlPr locked="0" defaultSize="0" autoFill="0" autoPict="0">
                <anchor moveWithCells="1">
                  <from>
                    <xdr:col>6</xdr:col>
                    <xdr:colOff>400050</xdr:colOff>
                    <xdr:row>12</xdr:row>
                    <xdr:rowOff>76200</xdr:rowOff>
                  </from>
                  <to>
                    <xdr:col>6</xdr:col>
                    <xdr:colOff>1638300</xdr:colOff>
                    <xdr:row>12</xdr:row>
                    <xdr:rowOff>304800</xdr:rowOff>
                  </to>
                </anchor>
              </controlPr>
            </control>
          </mc:Choice>
        </mc:AlternateContent>
        <mc:AlternateContent xmlns:mc="http://schemas.openxmlformats.org/markup-compatibility/2006">
          <mc:Choice Requires="x14">
            <control shapeId="169009" r:id="rId6" name="Drop Down 49">
              <controlPr locked="0" defaultSize="0" autoFill="0" autoPict="0">
                <anchor moveWithCells="1">
                  <from>
                    <xdr:col>6</xdr:col>
                    <xdr:colOff>400050</xdr:colOff>
                    <xdr:row>13</xdr:row>
                    <xdr:rowOff>76200</xdr:rowOff>
                  </from>
                  <to>
                    <xdr:col>6</xdr:col>
                    <xdr:colOff>1638300</xdr:colOff>
                    <xdr:row>13</xdr:row>
                    <xdr:rowOff>304800</xdr:rowOff>
                  </to>
                </anchor>
              </controlPr>
            </control>
          </mc:Choice>
        </mc:AlternateContent>
        <mc:AlternateContent xmlns:mc="http://schemas.openxmlformats.org/markup-compatibility/2006">
          <mc:Choice Requires="x14">
            <control shapeId="169010" r:id="rId7" name="Drop Down 50">
              <controlPr locked="0" defaultSize="0" autoFill="0" autoPict="0">
                <anchor moveWithCells="1">
                  <from>
                    <xdr:col>6</xdr:col>
                    <xdr:colOff>400050</xdr:colOff>
                    <xdr:row>16</xdr:row>
                    <xdr:rowOff>76200</xdr:rowOff>
                  </from>
                  <to>
                    <xdr:col>6</xdr:col>
                    <xdr:colOff>1638300</xdr:colOff>
                    <xdr:row>16</xdr:row>
                    <xdr:rowOff>304800</xdr:rowOff>
                  </to>
                </anchor>
              </controlPr>
            </control>
          </mc:Choice>
        </mc:AlternateContent>
        <mc:AlternateContent xmlns:mc="http://schemas.openxmlformats.org/markup-compatibility/2006">
          <mc:Choice Requires="x14">
            <control shapeId="169011" r:id="rId8" name="Drop Down 51">
              <controlPr locked="0" defaultSize="0" autoFill="0" autoPict="0">
                <anchor moveWithCells="1">
                  <from>
                    <xdr:col>6</xdr:col>
                    <xdr:colOff>400050</xdr:colOff>
                    <xdr:row>17</xdr:row>
                    <xdr:rowOff>76200</xdr:rowOff>
                  </from>
                  <to>
                    <xdr:col>6</xdr:col>
                    <xdr:colOff>1638300</xdr:colOff>
                    <xdr:row>17</xdr:row>
                    <xdr:rowOff>304800</xdr:rowOff>
                  </to>
                </anchor>
              </controlPr>
            </control>
          </mc:Choice>
        </mc:AlternateContent>
        <mc:AlternateContent xmlns:mc="http://schemas.openxmlformats.org/markup-compatibility/2006">
          <mc:Choice Requires="x14">
            <control shapeId="169012" r:id="rId9" name="Drop Down 52">
              <controlPr locked="0" defaultSize="0" autoFill="0" autoPict="0">
                <anchor moveWithCells="1">
                  <from>
                    <xdr:col>6</xdr:col>
                    <xdr:colOff>400050</xdr:colOff>
                    <xdr:row>18</xdr:row>
                    <xdr:rowOff>76200</xdr:rowOff>
                  </from>
                  <to>
                    <xdr:col>6</xdr:col>
                    <xdr:colOff>1638300</xdr:colOff>
                    <xdr:row>18</xdr:row>
                    <xdr:rowOff>304800</xdr:rowOff>
                  </to>
                </anchor>
              </controlPr>
            </control>
          </mc:Choice>
        </mc:AlternateContent>
        <mc:AlternateContent xmlns:mc="http://schemas.openxmlformats.org/markup-compatibility/2006">
          <mc:Choice Requires="x14">
            <control shapeId="169013" r:id="rId10" name="Drop Down 53">
              <controlPr locked="0" defaultSize="0" autoFill="0" autoPict="0">
                <anchor moveWithCells="1">
                  <from>
                    <xdr:col>6</xdr:col>
                    <xdr:colOff>400050</xdr:colOff>
                    <xdr:row>21</xdr:row>
                    <xdr:rowOff>76200</xdr:rowOff>
                  </from>
                  <to>
                    <xdr:col>6</xdr:col>
                    <xdr:colOff>1638300</xdr:colOff>
                    <xdr:row>21</xdr:row>
                    <xdr:rowOff>304800</xdr:rowOff>
                  </to>
                </anchor>
              </controlPr>
            </control>
          </mc:Choice>
        </mc:AlternateContent>
        <mc:AlternateContent xmlns:mc="http://schemas.openxmlformats.org/markup-compatibility/2006">
          <mc:Choice Requires="x14">
            <control shapeId="169014" r:id="rId11" name="Drop Down 54">
              <controlPr locked="0" defaultSize="0" autoFill="0" autoPict="0">
                <anchor moveWithCells="1">
                  <from>
                    <xdr:col>6</xdr:col>
                    <xdr:colOff>400050</xdr:colOff>
                    <xdr:row>22</xdr:row>
                    <xdr:rowOff>76200</xdr:rowOff>
                  </from>
                  <to>
                    <xdr:col>6</xdr:col>
                    <xdr:colOff>1638300</xdr:colOff>
                    <xdr:row>22</xdr:row>
                    <xdr:rowOff>304800</xdr:rowOff>
                  </to>
                </anchor>
              </controlPr>
            </control>
          </mc:Choice>
        </mc:AlternateContent>
        <mc:AlternateContent xmlns:mc="http://schemas.openxmlformats.org/markup-compatibility/2006">
          <mc:Choice Requires="x14">
            <control shapeId="169015" r:id="rId12" name="Drop Down 55">
              <controlPr locked="0" defaultSize="0" autoFill="0" autoPict="0">
                <anchor moveWithCells="1">
                  <from>
                    <xdr:col>6</xdr:col>
                    <xdr:colOff>400050</xdr:colOff>
                    <xdr:row>25</xdr:row>
                    <xdr:rowOff>76200</xdr:rowOff>
                  </from>
                  <to>
                    <xdr:col>6</xdr:col>
                    <xdr:colOff>1638300</xdr:colOff>
                    <xdr:row>25</xdr:row>
                    <xdr:rowOff>304800</xdr:rowOff>
                  </to>
                </anchor>
              </controlPr>
            </control>
          </mc:Choice>
        </mc:AlternateContent>
        <mc:AlternateContent xmlns:mc="http://schemas.openxmlformats.org/markup-compatibility/2006">
          <mc:Choice Requires="x14">
            <control shapeId="169016" r:id="rId13" name="Drop Down 56">
              <controlPr locked="0" defaultSize="0" autoFill="0" autoPict="0">
                <anchor moveWithCells="1">
                  <from>
                    <xdr:col>6</xdr:col>
                    <xdr:colOff>400050</xdr:colOff>
                    <xdr:row>26</xdr:row>
                    <xdr:rowOff>76200</xdr:rowOff>
                  </from>
                  <to>
                    <xdr:col>6</xdr:col>
                    <xdr:colOff>1638300</xdr:colOff>
                    <xdr:row>26</xdr:row>
                    <xdr:rowOff>304800</xdr:rowOff>
                  </to>
                </anchor>
              </controlPr>
            </control>
          </mc:Choice>
        </mc:AlternateContent>
        <mc:AlternateContent xmlns:mc="http://schemas.openxmlformats.org/markup-compatibility/2006">
          <mc:Choice Requires="x14">
            <control shapeId="169017" r:id="rId14" name="Drop Down 57">
              <controlPr locked="0" defaultSize="0" autoFill="0" autoPict="0">
                <anchor moveWithCells="1">
                  <from>
                    <xdr:col>6</xdr:col>
                    <xdr:colOff>400050</xdr:colOff>
                    <xdr:row>27</xdr:row>
                    <xdr:rowOff>76200</xdr:rowOff>
                  </from>
                  <to>
                    <xdr:col>6</xdr:col>
                    <xdr:colOff>1638300</xdr:colOff>
                    <xdr:row>27</xdr:row>
                    <xdr:rowOff>304800</xdr:rowOff>
                  </to>
                </anchor>
              </controlPr>
            </control>
          </mc:Choice>
        </mc:AlternateContent>
        <mc:AlternateContent xmlns:mc="http://schemas.openxmlformats.org/markup-compatibility/2006">
          <mc:Choice Requires="x14">
            <control shapeId="169018" r:id="rId15" name="Drop Down 58">
              <controlPr locked="0" defaultSize="0" autoFill="0" autoPict="0">
                <anchor moveWithCells="1">
                  <from>
                    <xdr:col>6</xdr:col>
                    <xdr:colOff>400050</xdr:colOff>
                    <xdr:row>28</xdr:row>
                    <xdr:rowOff>76200</xdr:rowOff>
                  </from>
                  <to>
                    <xdr:col>6</xdr:col>
                    <xdr:colOff>1638300</xdr:colOff>
                    <xdr:row>28</xdr:row>
                    <xdr:rowOff>304800</xdr:rowOff>
                  </to>
                </anchor>
              </controlPr>
            </control>
          </mc:Choice>
        </mc:AlternateContent>
        <mc:AlternateContent xmlns:mc="http://schemas.openxmlformats.org/markup-compatibility/2006">
          <mc:Choice Requires="x14">
            <control shapeId="169019" r:id="rId16" name="Drop Down 59">
              <controlPr locked="0" defaultSize="0" autoFill="0" autoPict="0">
                <anchor moveWithCells="1">
                  <from>
                    <xdr:col>6</xdr:col>
                    <xdr:colOff>400050</xdr:colOff>
                    <xdr:row>30</xdr:row>
                    <xdr:rowOff>76200</xdr:rowOff>
                  </from>
                  <to>
                    <xdr:col>6</xdr:col>
                    <xdr:colOff>1638300</xdr:colOff>
                    <xdr:row>30</xdr:row>
                    <xdr:rowOff>304800</xdr:rowOff>
                  </to>
                </anchor>
              </controlPr>
            </control>
          </mc:Choice>
        </mc:AlternateContent>
        <mc:AlternateContent xmlns:mc="http://schemas.openxmlformats.org/markup-compatibility/2006">
          <mc:Choice Requires="x14">
            <control shapeId="169020" r:id="rId17" name="Drop Down 60">
              <controlPr locked="0" defaultSize="0" autoFill="0" autoPict="0">
                <anchor moveWithCells="1">
                  <from>
                    <xdr:col>6</xdr:col>
                    <xdr:colOff>400050</xdr:colOff>
                    <xdr:row>31</xdr:row>
                    <xdr:rowOff>76200</xdr:rowOff>
                  </from>
                  <to>
                    <xdr:col>6</xdr:col>
                    <xdr:colOff>1638300</xdr:colOff>
                    <xdr:row>31</xdr:row>
                    <xdr:rowOff>304800</xdr:rowOff>
                  </to>
                </anchor>
              </controlPr>
            </control>
          </mc:Choice>
        </mc:AlternateContent>
        <mc:AlternateContent xmlns:mc="http://schemas.openxmlformats.org/markup-compatibility/2006">
          <mc:Choice Requires="x14">
            <control shapeId="169021" r:id="rId18" name="Drop Down 61">
              <controlPr locked="0" defaultSize="0" autoFill="0" autoPict="0">
                <anchor moveWithCells="1">
                  <from>
                    <xdr:col>6</xdr:col>
                    <xdr:colOff>400050</xdr:colOff>
                    <xdr:row>32</xdr:row>
                    <xdr:rowOff>76200</xdr:rowOff>
                  </from>
                  <to>
                    <xdr:col>6</xdr:col>
                    <xdr:colOff>1638300</xdr:colOff>
                    <xdr:row>32</xdr:row>
                    <xdr:rowOff>304800</xdr:rowOff>
                  </to>
                </anchor>
              </controlPr>
            </control>
          </mc:Choice>
        </mc:AlternateContent>
        <mc:AlternateContent xmlns:mc="http://schemas.openxmlformats.org/markup-compatibility/2006">
          <mc:Choice Requires="x14">
            <control shapeId="169022" r:id="rId19" name="Drop Down 62">
              <controlPr locked="0" defaultSize="0" autoFill="0" autoPict="0">
                <anchor moveWithCells="1">
                  <from>
                    <xdr:col>6</xdr:col>
                    <xdr:colOff>400050</xdr:colOff>
                    <xdr:row>33</xdr:row>
                    <xdr:rowOff>76200</xdr:rowOff>
                  </from>
                  <to>
                    <xdr:col>6</xdr:col>
                    <xdr:colOff>1638300</xdr:colOff>
                    <xdr:row>33</xdr:row>
                    <xdr:rowOff>304800</xdr:rowOff>
                  </to>
                </anchor>
              </controlPr>
            </control>
          </mc:Choice>
        </mc:AlternateContent>
        <mc:AlternateContent xmlns:mc="http://schemas.openxmlformats.org/markup-compatibility/2006">
          <mc:Choice Requires="x14">
            <control shapeId="169023" r:id="rId20" name="Drop Down 63">
              <controlPr locked="0" defaultSize="0" autoFill="0" autoPict="0">
                <anchor moveWithCells="1">
                  <from>
                    <xdr:col>6</xdr:col>
                    <xdr:colOff>400050</xdr:colOff>
                    <xdr:row>34</xdr:row>
                    <xdr:rowOff>76200</xdr:rowOff>
                  </from>
                  <to>
                    <xdr:col>6</xdr:col>
                    <xdr:colOff>1638300</xdr:colOff>
                    <xdr:row>34</xdr:row>
                    <xdr:rowOff>304800</xdr:rowOff>
                  </to>
                </anchor>
              </controlPr>
            </control>
          </mc:Choice>
        </mc:AlternateContent>
        <mc:AlternateContent xmlns:mc="http://schemas.openxmlformats.org/markup-compatibility/2006">
          <mc:Choice Requires="x14">
            <control shapeId="169024" r:id="rId21" name="Drop Down 64">
              <controlPr locked="0" defaultSize="0" autoFill="0" autoPict="0">
                <anchor moveWithCells="1">
                  <from>
                    <xdr:col>6</xdr:col>
                    <xdr:colOff>400050</xdr:colOff>
                    <xdr:row>35</xdr:row>
                    <xdr:rowOff>76200</xdr:rowOff>
                  </from>
                  <to>
                    <xdr:col>6</xdr:col>
                    <xdr:colOff>1638300</xdr:colOff>
                    <xdr:row>35</xdr:row>
                    <xdr:rowOff>304800</xdr:rowOff>
                  </to>
                </anchor>
              </controlPr>
            </control>
          </mc:Choice>
        </mc:AlternateContent>
        <mc:AlternateContent xmlns:mc="http://schemas.openxmlformats.org/markup-compatibility/2006">
          <mc:Choice Requires="x14">
            <control shapeId="168961" r:id="rId22" name="Drop Down 1">
              <controlPr locked="0" defaultSize="0" autoFill="0" autoPict="0">
                <anchor moveWithCells="1">
                  <from>
                    <xdr:col>6</xdr:col>
                    <xdr:colOff>400050</xdr:colOff>
                    <xdr:row>8</xdr:row>
                    <xdr:rowOff>76200</xdr:rowOff>
                  </from>
                  <to>
                    <xdr:col>6</xdr:col>
                    <xdr:colOff>1638300</xdr:colOff>
                    <xdr:row>8</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717BC9682E1E4883F171C6F4CAE1E1" ma:contentTypeVersion="12" ma:contentTypeDescription="Create a new document." ma:contentTypeScope="" ma:versionID="d0e5a54c02fe12984298d36c1a38f307">
  <xsd:schema xmlns:xsd="http://www.w3.org/2001/XMLSchema" xmlns:xs="http://www.w3.org/2001/XMLSchema" xmlns:p="http://schemas.microsoft.com/office/2006/metadata/properties" xmlns:ns2="55dffd3b-8816-40f4-a6e1-f221333b3a84" xmlns:ns3="c3e2fce7-69bd-406d-9d97-5be86120755d" targetNamespace="http://schemas.microsoft.com/office/2006/metadata/properties" ma:root="true" ma:fieldsID="79f1eff1a778c313e4fff8d7dc0df858" ns2:_="" ns3:_="">
    <xsd:import namespace="55dffd3b-8816-40f4-a6e1-f221333b3a84"/>
    <xsd:import namespace="c3e2fce7-69bd-406d-9d97-5be8612075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dffd3b-8816-40f4-a6e1-f221333b3a84"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e2fce7-69bd-406d-9d97-5be86120755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F0BF16-2AFF-4405-8456-75F4E6EDB5FA}">
  <ds:schemaRefs>
    <ds:schemaRef ds:uri="http://schemas.microsoft.com/sharepoint/v3/contenttype/forms"/>
  </ds:schemaRefs>
</ds:datastoreItem>
</file>

<file path=customXml/itemProps2.xml><?xml version="1.0" encoding="utf-8"?>
<ds:datastoreItem xmlns:ds="http://schemas.openxmlformats.org/officeDocument/2006/customXml" ds:itemID="{36CDCB10-5D1D-498F-8F1D-36E0B31275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dffd3b-8816-40f4-a6e1-f221333b3a84"/>
    <ds:schemaRef ds:uri="c3e2fce7-69bd-406d-9d97-5be8612075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FA3C95-AE25-404A-B47B-35798054727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36</vt:i4>
      </vt:variant>
    </vt:vector>
  </HeadingPairs>
  <TitlesOfParts>
    <vt:vector size="48" baseType="lpstr">
      <vt:lpstr>Introduction</vt:lpstr>
      <vt:lpstr>Guidelines</vt:lpstr>
      <vt:lpstr>Profile and Scope</vt:lpstr>
      <vt:lpstr>Targets</vt:lpstr>
      <vt:lpstr>Weightings</vt:lpstr>
      <vt:lpstr>Aggregated Results</vt:lpstr>
      <vt:lpstr>Assess A</vt:lpstr>
      <vt:lpstr>Assess B</vt:lpstr>
      <vt:lpstr>Assess C</vt:lpstr>
      <vt:lpstr>Results A</vt:lpstr>
      <vt:lpstr>Results B</vt:lpstr>
      <vt:lpstr>Results C</vt:lpstr>
      <vt:lpstr>Assess_A_Reference_2</vt:lpstr>
      <vt:lpstr>Assess_B_Reference_2</vt:lpstr>
      <vt:lpstr>Assess_C_Reference_2</vt:lpstr>
      <vt:lpstr>Contents_Headings</vt:lpstr>
      <vt:lpstr>detail_maturity_score</vt:lpstr>
      <vt:lpstr>level_ref</vt:lpstr>
      <vt:lpstr>maturity_response_frame</vt:lpstr>
      <vt:lpstr>'Aggregated Results'!Print_Area</vt:lpstr>
      <vt:lpstr>'Assess A'!Print_Area</vt:lpstr>
      <vt:lpstr>'Assess B'!Print_Area</vt:lpstr>
      <vt:lpstr>'Assess C'!Print_Area</vt:lpstr>
      <vt:lpstr>Guidelines!Print_Area</vt:lpstr>
      <vt:lpstr>Introduction!Print_Area</vt:lpstr>
      <vt:lpstr>'Profile and Scope'!Print_Area</vt:lpstr>
      <vt:lpstr>'Results A'!Print_Area</vt:lpstr>
      <vt:lpstr>'Results B'!Print_Area</vt:lpstr>
      <vt:lpstr>'Results C'!Print_Area</vt:lpstr>
      <vt:lpstr>Targets!Print_Area</vt:lpstr>
      <vt:lpstr>Weightings!Print_Area</vt:lpstr>
      <vt:lpstr>profile_business_unit</vt:lpstr>
      <vt:lpstr>profile_date_of_assessment</vt:lpstr>
      <vt:lpstr>profile_internal_pt_coordinator</vt:lpstr>
      <vt:lpstr>profile_name_of_organisation</vt:lpstr>
      <vt:lpstr>profile_pt_coordinator_role_or_position</vt:lpstr>
      <vt:lpstr>profile_sector</vt:lpstr>
      <vt:lpstr>profile_size_of_business</vt:lpstr>
      <vt:lpstr>profile_type_of_business</vt:lpstr>
      <vt:lpstr>Results_A_Reference</vt:lpstr>
      <vt:lpstr>Results_B_Reference</vt:lpstr>
      <vt:lpstr>Results_C_Reference</vt:lpstr>
      <vt:lpstr>sector_responses</vt:lpstr>
      <vt:lpstr>size_of_business_responses</vt:lpstr>
      <vt:lpstr>Tool_Name</vt:lpstr>
      <vt:lpstr>type_of_business_responses</vt:lpstr>
      <vt:lpstr>weighting_response_reverse</vt:lpstr>
      <vt:lpstr>weighting_responses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Jones</dc:creator>
  <cp:lastModifiedBy>Steve</cp:lastModifiedBy>
  <cp:lastPrinted>2014-05-21T13:24:25Z</cp:lastPrinted>
  <dcterms:created xsi:type="dcterms:W3CDTF">2013-12-31T13:54:42Z</dcterms:created>
  <dcterms:modified xsi:type="dcterms:W3CDTF">2021-06-21T18:23:40Z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linkTarget="versionnumber">
    <vt:lpwstr>v3.7</vt:lpwstr>
  </property>
  <property fmtid="{D5CDD505-2E9C-101B-9397-08002B2CF9AE}" pid="3" name="ContentTypeId">
    <vt:lpwstr>0x010100E6717BC9682E1E4883F171C6F4CAE1E1</vt:lpwstr>
  </property>
</Properties>
</file>